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84" activeTab="0"/>
  </bookViews>
  <sheets>
    <sheet name="Космонавтов 11" sheetId="1" r:id="rId1"/>
    <sheet name="Космонавтов 15а" sheetId="2" r:id="rId2"/>
    <sheet name="Космонавтов 20" sheetId="3" r:id="rId3"/>
    <sheet name="Космонавтов 21" sheetId="4" r:id="rId4"/>
    <sheet name="Ленина 6Б" sheetId="5" r:id="rId5"/>
    <sheet name="Ленина 34" sheetId="6" r:id="rId6"/>
    <sheet name="Ленина 35" sheetId="7" r:id="rId7"/>
    <sheet name="Ленина 36" sheetId="8" r:id="rId8"/>
    <sheet name="Ленина 37" sheetId="9" r:id="rId9"/>
    <sheet name="Ленина 39" sheetId="10" r:id="rId10"/>
    <sheet name="Мира 34" sheetId="11" r:id="rId11"/>
    <sheet name="Мира 36А" sheetId="12" r:id="rId12"/>
    <sheet name="Мира 38" sheetId="13" r:id="rId13"/>
    <sheet name="Мира 38А" sheetId="14" r:id="rId14"/>
    <sheet name="Московская 31" sheetId="15" r:id="rId15"/>
    <sheet name="Московская 33" sheetId="16" r:id="rId16"/>
    <sheet name="Павлова 28" sheetId="17" r:id="rId17"/>
    <sheet name="Павлова 30" sheetId="18" r:id="rId18"/>
    <sheet name="Павлова 45" sheetId="19" r:id="rId19"/>
    <sheet name="Павлова 47" sheetId="20" r:id="rId20"/>
    <sheet name="Павлова 47А" sheetId="21" r:id="rId21"/>
    <sheet name="Павлова 53" sheetId="22" r:id="rId22"/>
    <sheet name="Пирогова 21" sheetId="23" r:id="rId23"/>
    <sheet name="Пирогова 23" sheetId="24" r:id="rId24"/>
    <sheet name="Пирогова 34" sheetId="25" r:id="rId25"/>
    <sheet name="Сергея Буландо 1" sheetId="26" r:id="rId26"/>
    <sheet name="Сергея Буландо 3" sheetId="27" r:id="rId27"/>
    <sheet name="Сергея Буландо 4" sheetId="28" r:id="rId28"/>
    <sheet name="Сергея Буландо 5" sheetId="29" r:id="rId29"/>
    <sheet name="Сергея Буландо 7" sheetId="30" r:id="rId30"/>
    <sheet name="Советской Армии 5А" sheetId="31" r:id="rId31"/>
    <sheet name="Советской Армии 20" sheetId="32" r:id="rId32"/>
    <sheet name="Советской Армии 22" sheetId="33" r:id="rId33"/>
    <sheet name="Советской Армии 24" sheetId="34" r:id="rId34"/>
    <sheet name="Советской Армии 25" sheetId="35" r:id="rId35"/>
    <sheet name="Советской Армии 26" sheetId="36" r:id="rId36"/>
    <sheet name="Строителей 13" sheetId="37" r:id="rId37"/>
    <sheet name="Строителей 13А" sheetId="38" r:id="rId38"/>
    <sheet name="Строителей 15" sheetId="39" r:id="rId39"/>
    <sheet name="Строителей 32" sheetId="40" r:id="rId40"/>
    <sheet name="Яблочкова 11" sheetId="41" r:id="rId41"/>
    <sheet name="Яблочкова 19" sheetId="42" r:id="rId42"/>
    <sheet name="Яблочкова 21А" sheetId="43" r:id="rId43"/>
    <sheet name="Яблочкова 23" sheetId="44" r:id="rId44"/>
    <sheet name="Яблочкова 23А" sheetId="45" r:id="rId45"/>
    <sheet name="Яблочкова 25" sheetId="46" r:id="rId46"/>
    <sheet name="Яблочкова 34" sheetId="47" r:id="rId47"/>
    <sheet name="Яблочкова 36" sheetId="48" r:id="rId48"/>
    <sheet name="Яблочкова 36А" sheetId="49" r:id="rId49"/>
  </sheets>
  <definedNames>
    <definedName name="_xlnm.Print_Area" localSheetId="1">'Космонавтов 15а'!$A$1:$H$27</definedName>
    <definedName name="_xlnm.Print_Area" localSheetId="40">'Яблочкова 11'!$A$1:$H$27</definedName>
  </definedNames>
  <calcPr fullCalcOnLoad="1"/>
</workbook>
</file>

<file path=xl/sharedStrings.xml><?xml version="1.0" encoding="utf-8"?>
<sst xmlns="http://schemas.openxmlformats.org/spreadsheetml/2006/main" count="835" uniqueCount="133">
  <si>
    <t>Текущий ремонт жилых домов (руб.)</t>
  </si>
  <si>
    <t>Содержание жилых домов (руб.)</t>
  </si>
  <si>
    <t>Капитальный ремонт жилых домов (руб.)</t>
  </si>
  <si>
    <t>2. Начислено</t>
  </si>
  <si>
    <t>3. Оплачено:</t>
  </si>
  <si>
    <t>4. Задолженность на конец отчетного периода</t>
  </si>
  <si>
    <t>5. Выполнено работ (оказано услуг)</t>
  </si>
  <si>
    <t>II. Основные показатели финансово-хозяйственной деятельности управляющей организации по каждому дому</t>
  </si>
  <si>
    <t>Таблица № 1</t>
  </si>
  <si>
    <t>Примечание:</t>
  </si>
  <si>
    <t>п.5 = данные управляющей организации</t>
  </si>
  <si>
    <t xml:space="preserve">6. Остаток на конец отчетного года                  "-" - перевыполнено работ                                "+" - недовыполнено работ            </t>
  </si>
  <si>
    <t>ул. Ленина, 34</t>
  </si>
  <si>
    <t>ул. Ленина, 35</t>
  </si>
  <si>
    <t>ул. Ленина, 36</t>
  </si>
  <si>
    <t>ул. Ленина, 37</t>
  </si>
  <si>
    <t>ул. Ленина, 39</t>
  </si>
  <si>
    <t>ул. Яблочкова, 19</t>
  </si>
  <si>
    <t>ул. Яблочкова, 21а</t>
  </si>
  <si>
    <t>ул. Яблочкова, 23</t>
  </si>
  <si>
    <t>ул. Яблочкова, 23а</t>
  </si>
  <si>
    <t>ул. Яблочкова, 25</t>
  </si>
  <si>
    <t>ул. Космонавтов, 11</t>
  </si>
  <si>
    <t>Общая площадь 2652,5 кв.м.</t>
  </si>
  <si>
    <t>1. Остаток на начало года</t>
  </si>
  <si>
    <t>ул.Сергея Буландо,1</t>
  </si>
  <si>
    <t>ул.Сергея Буландо,3</t>
  </si>
  <si>
    <t>ул.Сергея Буландо,5</t>
  </si>
  <si>
    <t>ул.Сергея Буландо,7</t>
  </si>
  <si>
    <t>ул.Ленина,6б</t>
  </si>
  <si>
    <t>п.6 = п.1+п.2 - п.5</t>
  </si>
  <si>
    <t>п.6 = п.1 + п.2 - п.5</t>
  </si>
  <si>
    <t>п.6 = п.1+п.2- п.5</t>
  </si>
  <si>
    <t>п.6 = п.1+п.2-п.5</t>
  </si>
  <si>
    <t>ул. Космонавтов, 15а</t>
  </si>
  <si>
    <t>ул. Космонавтов, 20</t>
  </si>
  <si>
    <t>Общая площадь 3010.62 кв.м.</t>
  </si>
  <si>
    <t>ул. Космонавтов, 21</t>
  </si>
  <si>
    <t>Общая площадь 1662,70 кв.м.</t>
  </si>
  <si>
    <t>Общая площадь 3606,04 кв.м.</t>
  </si>
  <si>
    <t>Основные показатели финансово-хозяйственной деятельности управляющей организации по каждому дому</t>
  </si>
  <si>
    <t>1. Остаток на начало года:</t>
  </si>
  <si>
    <t>2. Начислено:</t>
  </si>
  <si>
    <t>4. Задолженность на конец отчетного периода:</t>
  </si>
  <si>
    <t>5. Выполнено работ (оказано услуг):</t>
  </si>
  <si>
    <t>Общая площадь 764,3 кв.м.</t>
  </si>
  <si>
    <t>Общая площадь 713,09 кв.м.</t>
  </si>
  <si>
    <t>ул. Мира, 34</t>
  </si>
  <si>
    <t>ул. Мира, 36а</t>
  </si>
  <si>
    <t>ул. Мира, 38</t>
  </si>
  <si>
    <t>Общая площадь 2572,05 кв.м.</t>
  </si>
  <si>
    <t>ул. Мира, 38а</t>
  </si>
  <si>
    <t>Общая площадь 2587,02 кв.м.</t>
  </si>
  <si>
    <t>ул. Московская, 31</t>
  </si>
  <si>
    <t>Общая площадь 1123,44 кв.м.</t>
  </si>
  <si>
    <t>ул. Московская, 33</t>
  </si>
  <si>
    <t xml:space="preserve"> </t>
  </si>
  <si>
    <t>ул. Павлова, 28</t>
  </si>
  <si>
    <t>ул. Павлова, 30</t>
  </si>
  <si>
    <t>-</t>
  </si>
  <si>
    <t>ул. Павлова, 45</t>
  </si>
  <si>
    <t>1.1. Остаток на начало года</t>
  </si>
  <si>
    <t>ул. Павлова, 47</t>
  </si>
  <si>
    <t>ул. Павлова, 47а</t>
  </si>
  <si>
    <t>ул. Павлова, 53</t>
  </si>
  <si>
    <t>ул. Пирогова, 21</t>
  </si>
  <si>
    <t>Общая площадь 1088,6 кв.м.</t>
  </si>
  <si>
    <t>ул. Пирогова, 23</t>
  </si>
  <si>
    <t>Общая площадь 602,2 кв.м.</t>
  </si>
  <si>
    <t>ул. Пирогова, 34</t>
  </si>
  <si>
    <t>ул. Сергея Буландо,4</t>
  </si>
  <si>
    <t>Общая площадь 4953,60 кв.м.</t>
  </si>
  <si>
    <t>ул. Советской Армии, 20</t>
  </si>
  <si>
    <t>ул. Советской Армии, 22</t>
  </si>
  <si>
    <t>ул. Советской Армии, 24</t>
  </si>
  <si>
    <t>Общая площадь 5634,5 кв.м.</t>
  </si>
  <si>
    <t>ул. Советской Армии,25</t>
  </si>
  <si>
    <t>ул. Советской Армии, 26</t>
  </si>
  <si>
    <t>ул. Строителей, 13</t>
  </si>
  <si>
    <t>ул. Строителей, 13а</t>
  </si>
  <si>
    <t>Общая площадь 2532,3 кв.м.</t>
  </si>
  <si>
    <t>ул. Строителей, 15</t>
  </si>
  <si>
    <t>Общая площадь 1504.29 кв.м.</t>
  </si>
  <si>
    <t>ул. Строителей, 32</t>
  </si>
  <si>
    <t>Общая площадь 632.6 кв.м.</t>
  </si>
  <si>
    <t>ул. Яблочкова, 11</t>
  </si>
  <si>
    <t>Общая площадь 3035.10 кв.м.</t>
  </si>
  <si>
    <t>Общая площадь 2127,6 кв.м.</t>
  </si>
  <si>
    <t>ул. Яблочкова, 34</t>
  </si>
  <si>
    <t>п.6 = п. 1+п.2 - п.5</t>
  </si>
  <si>
    <t>ул. Яблочкова, 36</t>
  </si>
  <si>
    <t>ул. Яблочкова, 36а</t>
  </si>
  <si>
    <t xml:space="preserve">6. Остаток на конец отчетного года
"-" - перевыполнено работ
"+" - недовыполнено работ            </t>
  </si>
  <si>
    <t>Общая площадь 2160,7 кв.м.</t>
  </si>
  <si>
    <t>II. Основные показатели финансово-хозяйственной деятельности управляющей организации</t>
  </si>
  <si>
    <t>Общая площадь 4038,9 кв.м.</t>
  </si>
  <si>
    <t>Общая площадь 4052,3 кв.м.</t>
  </si>
  <si>
    <t>Общая площадь 4048,7 кв.м.</t>
  </si>
  <si>
    <t>2016г.</t>
  </si>
  <si>
    <t>Общая площадь 4233,86 кв.м.</t>
  </si>
  <si>
    <t xml:space="preserve">6. Остаток на конец отчетного года
"-"  перевыполнено работ
"+" недовыполнено работ            </t>
  </si>
  <si>
    <t>с 01.01.2016г по 31.10.2016г.</t>
  </si>
  <si>
    <t>Общая площадь 5711,72 кв.м.</t>
  </si>
  <si>
    <t>2016 г.</t>
  </si>
  <si>
    <t xml:space="preserve">6. Остаток на конец отчетного года
"-" - перевыполнено работ                                "+" - недовыполнено работ            </t>
  </si>
  <si>
    <t>7. Остаток средств с учетом задолженности населения
"-" - задолженность
"+" - наличие</t>
  </si>
  <si>
    <t>2016 год</t>
  </si>
  <si>
    <t>Общая площадь жилых помещений 1508,46 кв.м.</t>
  </si>
  <si>
    <t>Общая площадь 331,0 кв.м.</t>
  </si>
  <si>
    <t>Общая площадь 2514,4 кв.м.</t>
  </si>
  <si>
    <t>Общая площадь 2520,1 кв.м.</t>
  </si>
  <si>
    <t>Общая площадь 1410,43 кв.м.</t>
  </si>
  <si>
    <t>Общая площадь 2811.9 кв.м.</t>
  </si>
  <si>
    <t>Общая площадь 3994.3 кв.м.</t>
  </si>
  <si>
    <t>Общая площадь 3218.1 кв.м</t>
  </si>
  <si>
    <t>Общая площадь 4417,4 кв.м.</t>
  </si>
  <si>
    <t>Общая площадь 4475,4 кв.м.</t>
  </si>
  <si>
    <t>Общая площадь 327,21 кв.м.</t>
  </si>
  <si>
    <t>Общая площадь 4046,2 кв.м.</t>
  </si>
  <si>
    <t>Общая площадь 4382.5 кв.м.</t>
  </si>
  <si>
    <t>Общая площадь 1716,5 кв.м.</t>
  </si>
  <si>
    <t>Общая площадь 4123.0 кв.м.</t>
  </si>
  <si>
    <t>Общая площадь 4956.4 кв.м</t>
  </si>
  <si>
    <t>Общая площадь 1423,8 кв.м.</t>
  </si>
  <si>
    <t>Общая площадь 4892,3 кв.м.</t>
  </si>
  <si>
    <t>Общая площадь 3112,9 кв.м.</t>
  </si>
  <si>
    <t>Общая площадь 5634.8 кв.м.</t>
  </si>
  <si>
    <t>Общая площадь 4272.6 кв.м.</t>
  </si>
  <si>
    <t>Общая площадь 5382,8 кв.м.</t>
  </si>
  <si>
    <t>Общая площадь 9475.5 кв.м.</t>
  </si>
  <si>
    <t>Общая площадь 5937.1 кв.м.</t>
  </si>
  <si>
    <t>Общая площадь 2667.8 кв.м.</t>
  </si>
  <si>
    <t>ул. Советской Армии 5А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</si>
</sst>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3" fillId="0" borderId="12" xfId="0" applyNumberFormat="1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 horizontal="center" vertical="justify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4" fontId="3" fillId="0" borderId="10" xfId="0" applyNumberFormat="1" applyFont="1" applyBorder="1" applyAlignment="1">
      <alignment horizontal="center" vertical="justify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85" workbookViewId="0" topLeftCell="A1">
      <selection activeCell="C15" sqref="C15:D15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22</v>
      </c>
      <c r="B1" s="8"/>
      <c r="C1" s="8"/>
      <c r="D1" s="8"/>
      <c r="E1" s="8"/>
      <c r="F1" s="8"/>
      <c r="G1" s="8"/>
      <c r="H1" s="8"/>
    </row>
    <row r="2" spans="1:8" ht="15.75">
      <c r="A2" s="9" t="s">
        <v>23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9.25" customHeight="1">
      <c r="A10" s="12" t="s">
        <v>24</v>
      </c>
      <c r="B10" s="13"/>
      <c r="C10" s="14">
        <v>158520.07</v>
      </c>
      <c r="D10" s="15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9">
        <f>45357.69</f>
        <v>45357.69</v>
      </c>
      <c r="D11" s="20"/>
      <c r="E11" s="19">
        <f>122545.5+96551.05</f>
        <v>219096.55</v>
      </c>
      <c r="F11" s="20"/>
      <c r="G11" s="15">
        <v>0</v>
      </c>
      <c r="H11" s="15"/>
    </row>
    <row r="12" spans="1:8" ht="15.75">
      <c r="A12" s="18" t="s">
        <v>4</v>
      </c>
      <c r="B12" s="18"/>
      <c r="C12" s="19">
        <f>256949.62-E12</f>
        <v>37853.07000000001</v>
      </c>
      <c r="D12" s="20"/>
      <c r="E12" s="19">
        <f>E11</f>
        <v>219096.55</v>
      </c>
      <c r="F12" s="20"/>
      <c r="G12" s="15">
        <v>0</v>
      </c>
      <c r="H12" s="15"/>
    </row>
    <row r="13" spans="1:8" ht="47.25" customHeight="1">
      <c r="A13" s="18" t="s">
        <v>5</v>
      </c>
      <c r="B13" s="18"/>
      <c r="C13" s="14">
        <v>58916.13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324180.65</v>
      </c>
      <c r="D14" s="15"/>
      <c r="E14" s="14">
        <f>E11</f>
        <v>219096.55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-120302.89000000001</v>
      </c>
      <c r="D15" s="15"/>
      <c r="E15" s="15">
        <v>0</v>
      </c>
      <c r="F15" s="15"/>
      <c r="G15" s="15">
        <v>0</v>
      </c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8" ht="28.5" customHeight="1">
      <c r="A18" s="25"/>
      <c r="B18" s="25"/>
      <c r="C18" s="25"/>
      <c r="D18" s="25"/>
      <c r="E18" s="25"/>
      <c r="F18" s="25"/>
      <c r="G18" s="25"/>
      <c r="H18" s="25"/>
    </row>
    <row r="19" spans="1:8" ht="15.75">
      <c r="A19" s="4"/>
      <c r="B19" s="4"/>
      <c r="C19" s="23"/>
      <c r="D19" s="23"/>
      <c r="E19" s="23"/>
      <c r="F19" s="23"/>
      <c r="G19" s="23"/>
      <c r="H19" s="23"/>
    </row>
    <row r="20" spans="1:8" ht="15.75">
      <c r="A20" s="23"/>
      <c r="B20" s="23"/>
      <c r="C20" s="23"/>
      <c r="D20" s="23"/>
      <c r="E20" s="23"/>
      <c r="F20" s="23"/>
      <c r="G20" s="23"/>
      <c r="H20" s="23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40">
    <mergeCell ref="A23:D23"/>
    <mergeCell ref="A25:B25"/>
    <mergeCell ref="A16:B16"/>
    <mergeCell ref="A17:B17"/>
    <mergeCell ref="A21:B21"/>
    <mergeCell ref="C19:H19"/>
    <mergeCell ref="A20:H20"/>
    <mergeCell ref="A18:H18"/>
    <mergeCell ref="A15:B15"/>
    <mergeCell ref="C15:D15"/>
    <mergeCell ref="E15:F15"/>
    <mergeCell ref="G15:H15"/>
    <mergeCell ref="A14:B14"/>
    <mergeCell ref="C14:D14"/>
    <mergeCell ref="E14:F14"/>
    <mergeCell ref="G14:H14"/>
    <mergeCell ref="A13:B13"/>
    <mergeCell ref="C13:D13"/>
    <mergeCell ref="E13:F13"/>
    <mergeCell ref="G13:H13"/>
    <mergeCell ref="A12:B12"/>
    <mergeCell ref="C12:D12"/>
    <mergeCell ref="E12:F12"/>
    <mergeCell ref="G12:H12"/>
    <mergeCell ref="A11:B11"/>
    <mergeCell ref="C11:D11"/>
    <mergeCell ref="E11:F11"/>
    <mergeCell ref="G11:H11"/>
    <mergeCell ref="A9:B9"/>
    <mergeCell ref="C9:D9"/>
    <mergeCell ref="E9:F9"/>
    <mergeCell ref="G9:H9"/>
    <mergeCell ref="A1:H1"/>
    <mergeCell ref="A2:H2"/>
    <mergeCell ref="A5:H5"/>
    <mergeCell ref="A7:H7"/>
    <mergeCell ref="A10:B10"/>
    <mergeCell ref="C10:D10"/>
    <mergeCell ref="E10:F10"/>
    <mergeCell ref="G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6">
      <selection activeCell="C15" sqref="C15:D15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16</v>
      </c>
      <c r="B1" s="8"/>
      <c r="C1" s="8"/>
      <c r="D1" s="8"/>
      <c r="E1" s="8"/>
      <c r="F1" s="8"/>
      <c r="G1" s="8"/>
      <c r="H1" s="8"/>
    </row>
    <row r="2" spans="1:8" ht="15.75">
      <c r="A2" s="9" t="s">
        <v>46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30.75" customHeight="1">
      <c r="A10" s="12" t="s">
        <v>24</v>
      </c>
      <c r="B10" s="13"/>
      <c r="C10" s="14">
        <v>24255.31</v>
      </c>
      <c r="D10" s="15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20465.69+12835.6</f>
        <v>33301.29</v>
      </c>
      <c r="D11" s="15"/>
      <c r="E11" s="14">
        <f>33843.18+25956.4</f>
        <v>59799.58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83876.89-E12</f>
        <v>24077.309999999998</v>
      </c>
      <c r="D12" s="15"/>
      <c r="E12" s="14">
        <f>E11</f>
        <v>59799.58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87865.79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11723</v>
      </c>
      <c r="D14" s="15"/>
      <c r="E14" s="14">
        <f>E12</f>
        <v>59799.58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45833.600000000006</v>
      </c>
      <c r="D15" s="15"/>
      <c r="E15" s="15">
        <v>0</v>
      </c>
      <c r="F15" s="15"/>
      <c r="G15" s="15">
        <v>0</v>
      </c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31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9">
      <selection activeCell="C15" sqref="C15:D15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47</v>
      </c>
      <c r="B1" s="8"/>
      <c r="C1" s="8"/>
      <c r="D1" s="8"/>
      <c r="E1" s="8"/>
      <c r="F1" s="8"/>
      <c r="G1" s="8"/>
      <c r="H1" s="8"/>
    </row>
    <row r="2" spans="1:8" ht="15.75">
      <c r="A2" s="9" t="s">
        <v>109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8.5" customHeight="1">
      <c r="A10" s="12" t="s">
        <v>24</v>
      </c>
      <c r="B10" s="13"/>
      <c r="C10" s="14">
        <v>-6833.08</v>
      </c>
      <c r="D10" s="15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33439.69+56135.33</f>
        <v>89575.02</v>
      </c>
      <c r="D11" s="15"/>
      <c r="E11" s="14">
        <f>119308.91+91896.23</f>
        <v>211205.14</v>
      </c>
      <c r="F11" s="15"/>
      <c r="G11" s="36"/>
      <c r="H11" s="36"/>
    </row>
    <row r="12" spans="1:8" ht="15.75">
      <c r="A12" s="18" t="s">
        <v>4</v>
      </c>
      <c r="B12" s="18"/>
      <c r="C12" s="14">
        <f>262084.07-E12</f>
        <v>50878.92999999999</v>
      </c>
      <c r="D12" s="15"/>
      <c r="E12" s="14">
        <f>E11</f>
        <v>211205.14</v>
      </c>
      <c r="F12" s="15"/>
      <c r="G12" s="36"/>
      <c r="H12" s="36"/>
    </row>
    <row r="13" spans="1:8" ht="47.25" customHeight="1">
      <c r="A13" s="18" t="s">
        <v>5</v>
      </c>
      <c r="B13" s="18"/>
      <c r="C13" s="14">
        <v>156314.58</v>
      </c>
      <c r="D13" s="15"/>
      <c r="E13" s="15">
        <v>0</v>
      </c>
      <c r="F13" s="15"/>
      <c r="G13" s="15"/>
      <c r="H13" s="15"/>
    </row>
    <row r="14" spans="1:8" ht="33" customHeight="1">
      <c r="A14" s="18" t="s">
        <v>6</v>
      </c>
      <c r="B14" s="18"/>
      <c r="C14" s="14">
        <v>19353</v>
      </c>
      <c r="D14" s="15"/>
      <c r="E14" s="14">
        <f>E12</f>
        <v>211205.14</v>
      </c>
      <c r="F14" s="15"/>
      <c r="G14" s="36"/>
      <c r="H14" s="36"/>
    </row>
    <row r="15" spans="1:8" ht="92.25" customHeight="1">
      <c r="A15" s="18" t="s">
        <v>11</v>
      </c>
      <c r="B15" s="18"/>
      <c r="C15" s="14">
        <f>C10+C11-C14</f>
        <v>63388.94</v>
      </c>
      <c r="D15" s="15"/>
      <c r="E15" s="15">
        <v>0</v>
      </c>
      <c r="F15" s="15"/>
      <c r="G15" s="37"/>
      <c r="H15" s="38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4"/>
      <c r="B21" s="4"/>
    </row>
    <row r="22" spans="1:4" ht="15.75">
      <c r="A22" s="23" t="s">
        <v>10</v>
      </c>
      <c r="B22" s="23"/>
      <c r="C22" s="23"/>
      <c r="D22" s="23"/>
    </row>
    <row r="23" spans="1:2" ht="15.75">
      <c r="A23" s="4"/>
      <c r="B23" s="4"/>
    </row>
    <row r="24" spans="1:2" ht="15.75">
      <c r="A24" s="23" t="s">
        <v>30</v>
      </c>
      <c r="B24" s="23"/>
    </row>
  </sheetData>
  <sheetProtection/>
  <mergeCells count="37">
    <mergeCell ref="A16:B16"/>
    <mergeCell ref="A17:B17"/>
    <mergeCell ref="A18:B18"/>
    <mergeCell ref="A22:D22"/>
    <mergeCell ref="A24:B24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4">
      <selection activeCell="E15" sqref="E15:F15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48</v>
      </c>
      <c r="B1" s="8"/>
      <c r="C1" s="8"/>
      <c r="D1" s="8"/>
      <c r="E1" s="8"/>
      <c r="F1" s="8"/>
      <c r="G1" s="8"/>
      <c r="H1" s="8"/>
    </row>
    <row r="2" spans="1:8" ht="15.75">
      <c r="A2" s="9" t="s">
        <v>110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8.5" customHeight="1">
      <c r="A10" s="12" t="s">
        <v>24</v>
      </c>
      <c r="B10" s="13"/>
      <c r="C10" s="14">
        <v>203246.37</v>
      </c>
      <c r="D10" s="15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56274.9+33895.19</f>
        <v>90170.09</v>
      </c>
      <c r="D11" s="15"/>
      <c r="E11" s="14">
        <f>119606.6+92110</f>
        <v>211716.6</v>
      </c>
      <c r="F11" s="15"/>
      <c r="G11" s="36"/>
      <c r="H11" s="36"/>
    </row>
    <row r="12" spans="1:8" ht="15.75">
      <c r="A12" s="18" t="s">
        <v>4</v>
      </c>
      <c r="B12" s="18"/>
      <c r="C12" s="14">
        <f>302469.52-E12</f>
        <v>90752.92000000001</v>
      </c>
      <c r="D12" s="15"/>
      <c r="E12" s="14">
        <f>E11</f>
        <v>211716.6</v>
      </c>
      <c r="F12" s="15"/>
      <c r="G12" s="15"/>
      <c r="H12" s="15"/>
    </row>
    <row r="13" spans="1:8" ht="47.25" customHeight="1">
      <c r="A13" s="18" t="s">
        <v>5</v>
      </c>
      <c r="B13" s="18"/>
      <c r="C13" s="14">
        <v>52983.93</v>
      </c>
      <c r="D13" s="15"/>
      <c r="E13" s="15">
        <v>0</v>
      </c>
      <c r="F13" s="15"/>
      <c r="G13" s="15"/>
      <c r="H13" s="15"/>
    </row>
    <row r="14" spans="1:8" ht="33" customHeight="1">
      <c r="A14" s="18" t="s">
        <v>6</v>
      </c>
      <c r="B14" s="18"/>
      <c r="C14" s="14">
        <v>45689</v>
      </c>
      <c r="D14" s="15"/>
      <c r="E14" s="14">
        <f>E12</f>
        <v>211716.6</v>
      </c>
      <c r="F14" s="15"/>
      <c r="G14" s="36"/>
      <c r="H14" s="36"/>
    </row>
    <row r="15" spans="1:8" ht="92.25" customHeight="1">
      <c r="A15" s="18" t="s">
        <v>11</v>
      </c>
      <c r="B15" s="18"/>
      <c r="C15" s="14">
        <f>C10+C11-C14</f>
        <v>247727.45999999996</v>
      </c>
      <c r="D15" s="15"/>
      <c r="E15" s="15">
        <v>0</v>
      </c>
      <c r="F15" s="15"/>
      <c r="G15" s="15"/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6">
      <selection activeCell="C15" sqref="C15:D15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49</v>
      </c>
      <c r="B1" s="8"/>
      <c r="C1" s="8"/>
      <c r="D1" s="8"/>
      <c r="E1" s="8"/>
      <c r="F1" s="8"/>
      <c r="G1" s="8"/>
      <c r="H1" s="8"/>
    </row>
    <row r="2" spans="1:8" ht="15.75">
      <c r="A2" s="9" t="s">
        <v>50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8.5" customHeight="1">
      <c r="A10" s="12" t="s">
        <v>24</v>
      </c>
      <c r="B10" s="13"/>
      <c r="C10" s="14">
        <v>227983.23</v>
      </c>
      <c r="D10" s="15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73817.87+44649.52</f>
        <v>118467.38999999998</v>
      </c>
      <c r="D11" s="15"/>
      <c r="E11" s="14">
        <f>122609.89+94445.46</f>
        <v>217055.35</v>
      </c>
      <c r="F11" s="15"/>
      <c r="G11" s="15"/>
      <c r="H11" s="15"/>
    </row>
    <row r="12" spans="1:8" ht="15.75">
      <c r="A12" s="18" t="s">
        <v>4</v>
      </c>
      <c r="B12" s="18"/>
      <c r="C12" s="14">
        <f>332856.84-E12</f>
        <v>115801.49000000002</v>
      </c>
      <c r="D12" s="15"/>
      <c r="E12" s="14">
        <f>E11</f>
        <v>217055.35</v>
      </c>
      <c r="F12" s="15"/>
      <c r="G12" s="15"/>
      <c r="H12" s="15"/>
    </row>
    <row r="13" spans="1:8" ht="47.25" customHeight="1">
      <c r="A13" s="18" t="s">
        <v>5</v>
      </c>
      <c r="B13" s="18"/>
      <c r="C13" s="14">
        <v>70563.61</v>
      </c>
      <c r="D13" s="15"/>
      <c r="E13" s="15">
        <v>0</v>
      </c>
      <c r="F13" s="15"/>
      <c r="G13" s="15"/>
      <c r="H13" s="15"/>
    </row>
    <row r="14" spans="1:8" ht="33" customHeight="1">
      <c r="A14" s="18" t="s">
        <v>6</v>
      </c>
      <c r="B14" s="18"/>
      <c r="C14" s="14">
        <v>63407</v>
      </c>
      <c r="D14" s="15"/>
      <c r="E14" s="14">
        <f>E12</f>
        <v>217055.35</v>
      </c>
      <c r="F14" s="15"/>
      <c r="G14" s="15"/>
      <c r="H14" s="15"/>
    </row>
    <row r="15" spans="1:8" ht="92.25" customHeight="1">
      <c r="A15" s="18" t="s">
        <v>11</v>
      </c>
      <c r="B15" s="18"/>
      <c r="C15" s="14">
        <f>C10+C11-C14</f>
        <v>283043.62</v>
      </c>
      <c r="D15" s="15"/>
      <c r="E15" s="15">
        <v>0</v>
      </c>
      <c r="F15" s="15"/>
      <c r="G15" s="15"/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6">
      <selection activeCell="C15" sqref="C15:D15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51</v>
      </c>
      <c r="B1" s="8"/>
      <c r="C1" s="8"/>
      <c r="D1" s="8"/>
      <c r="E1" s="8"/>
      <c r="F1" s="8"/>
      <c r="G1" s="8"/>
      <c r="H1" s="8"/>
    </row>
    <row r="2" spans="1:8" ht="15.75">
      <c r="A2" s="9" t="s">
        <v>52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9.25" customHeight="1">
      <c r="A10" s="12" t="s">
        <v>24</v>
      </c>
      <c r="B10" s="13"/>
      <c r="C10" s="14">
        <v>252071.93</v>
      </c>
      <c r="D10" s="15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74247.46+37123.85</f>
        <v>111371.31</v>
      </c>
      <c r="D11" s="15"/>
      <c r="E11" s="14">
        <f>122779.93+103610.3</f>
        <v>226390.22999999998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318622.77-E12</f>
        <v>92232.54000000004</v>
      </c>
      <c r="D12" s="15"/>
      <c r="E12" s="14">
        <f>E11</f>
        <v>226390.22999999998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101497.76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118068</v>
      </c>
      <c r="D14" s="15"/>
      <c r="E14" s="14">
        <f>E12</f>
        <v>226390.22999999998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245375.24</v>
      </c>
      <c r="D15" s="15"/>
      <c r="E15" s="15">
        <v>0</v>
      </c>
      <c r="F15" s="15"/>
      <c r="G15" s="15">
        <v>0</v>
      </c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6">
      <selection activeCell="C15" sqref="C15:D15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53</v>
      </c>
      <c r="B1" s="8"/>
      <c r="C1" s="8"/>
      <c r="D1" s="8"/>
      <c r="E1" s="8"/>
      <c r="F1" s="8"/>
      <c r="G1" s="8"/>
      <c r="H1" s="8"/>
    </row>
    <row r="2" spans="1:8" ht="15.75">
      <c r="A2" s="9" t="s">
        <v>54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30" customHeight="1">
      <c r="A10" s="12" t="s">
        <v>24</v>
      </c>
      <c r="B10" s="13"/>
      <c r="C10" s="39">
        <v>-63253.01</v>
      </c>
      <c r="D10" s="17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32242.7+20221.9</f>
        <v>52464.600000000006</v>
      </c>
      <c r="D11" s="15"/>
      <c r="E11" s="14">
        <f>53318.37+40893.15</f>
        <v>94211.52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138144-E12</f>
        <v>43932.479999999996</v>
      </c>
      <c r="D12" s="15"/>
      <c r="E12" s="14">
        <f>E11</f>
        <v>94211.52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37644.39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29761</v>
      </c>
      <c r="D14" s="15"/>
      <c r="E14" s="14">
        <f>E12</f>
        <v>94211.52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-40549.409999999996</v>
      </c>
      <c r="D15" s="15"/>
      <c r="E15" s="15">
        <v>0</v>
      </c>
      <c r="F15" s="15"/>
      <c r="G15" s="15">
        <v>0</v>
      </c>
      <c r="H15" s="15"/>
    </row>
    <row r="16" spans="1:3" ht="13.5" customHeight="1">
      <c r="A16" s="24"/>
      <c r="B16" s="24"/>
      <c r="C16" s="5"/>
    </row>
    <row r="17" spans="1:3" ht="12.75" customHeight="1">
      <c r="A17" s="24"/>
      <c r="B17" s="24"/>
      <c r="C17" s="5"/>
    </row>
    <row r="18" spans="1:3" ht="15.75">
      <c r="A18" s="23" t="s">
        <v>9</v>
      </c>
      <c r="B18" s="23"/>
      <c r="C18" s="6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9">
      <selection activeCell="C15" sqref="C15:D15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55</v>
      </c>
      <c r="B1" s="8"/>
      <c r="C1" s="8"/>
      <c r="D1" s="8"/>
      <c r="E1" s="8"/>
      <c r="F1" s="8"/>
      <c r="G1" s="8"/>
      <c r="H1" s="8"/>
    </row>
    <row r="2" spans="1:8" ht="15.75">
      <c r="A2" s="9" t="s">
        <v>111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9.25" customHeight="1">
      <c r="A10" s="12" t="s">
        <v>24</v>
      </c>
      <c r="B10" s="13"/>
      <c r="C10" s="39">
        <v>92898.41</v>
      </c>
      <c r="D10" s="17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40723.01+25176.15</f>
        <v>65899.16</v>
      </c>
      <c r="D11" s="15"/>
      <c r="E11" s="14">
        <f>67342.17+51551.35</f>
        <v>118893.51999999999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169178.28-E12</f>
        <v>50284.76000000001</v>
      </c>
      <c r="D12" s="15"/>
      <c r="E12" s="14">
        <f>E11</f>
        <v>118893.51999999999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103111.76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114105.35</v>
      </c>
      <c r="D14" s="15"/>
      <c r="E14" s="14">
        <f>E12</f>
        <v>118893.51999999999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44692.22</v>
      </c>
      <c r="D15" s="15"/>
      <c r="E15" s="15">
        <v>0</v>
      </c>
      <c r="F15" s="15"/>
      <c r="G15" s="15">
        <v>0</v>
      </c>
      <c r="H15" s="15"/>
    </row>
    <row r="16" spans="1:3" ht="13.5" customHeight="1">
      <c r="A16" s="24"/>
      <c r="B16" s="24"/>
      <c r="C16" s="5"/>
    </row>
    <row r="17" spans="1:3" ht="12.75" customHeight="1">
      <c r="A17" s="24"/>
      <c r="B17" s="24"/>
      <c r="C17" s="5"/>
    </row>
    <row r="18" spans="1:3" ht="15.75">
      <c r="A18" s="23" t="s">
        <v>9</v>
      </c>
      <c r="B18" s="23"/>
      <c r="C18" s="6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9">
      <selection activeCell="C15" sqref="C15:D15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57</v>
      </c>
      <c r="B1" s="8"/>
      <c r="C1" s="8"/>
      <c r="D1" s="8"/>
      <c r="E1" s="8"/>
      <c r="F1" s="8"/>
      <c r="G1" s="8"/>
      <c r="H1" s="8"/>
    </row>
    <row r="2" spans="1:8" ht="15.75">
      <c r="A2" s="9" t="s">
        <v>112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9.25" customHeight="1">
      <c r="A10" s="12" t="s">
        <v>24</v>
      </c>
      <c r="B10" s="13"/>
      <c r="C10" s="39">
        <v>-274943.52</v>
      </c>
      <c r="D10" s="17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53915.64+30368.65</f>
        <v>84284.29000000001</v>
      </c>
      <c r="D11" s="15"/>
      <c r="E11" s="14">
        <f>133411.79+102775.1+26565.43+19683.3</f>
        <v>282435.62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352115.03-E12</f>
        <v>69679.41000000003</v>
      </c>
      <c r="D12" s="15"/>
      <c r="E12" s="14">
        <f>E11</f>
        <v>282435.62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128041.58</v>
      </c>
      <c r="D13" s="15"/>
      <c r="E13" s="14">
        <f>E11-E12</f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79717</v>
      </c>
      <c r="D14" s="15"/>
      <c r="E14" s="14">
        <f>E12</f>
        <v>282435.62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-270376.23</v>
      </c>
      <c r="D15" s="15"/>
      <c r="E15" s="15">
        <v>0</v>
      </c>
      <c r="F15" s="15"/>
      <c r="G15" s="15">
        <v>0</v>
      </c>
      <c r="H15" s="15"/>
    </row>
    <row r="16" spans="1:3" ht="13.5" customHeight="1">
      <c r="A16" s="24"/>
      <c r="B16" s="24"/>
      <c r="C16" s="5"/>
    </row>
    <row r="17" spans="1:3" ht="12.75" customHeight="1">
      <c r="A17" s="24"/>
      <c r="B17" s="24"/>
      <c r="C17" s="5"/>
    </row>
    <row r="18" spans="1:3" ht="15.75">
      <c r="A18" s="23" t="s">
        <v>9</v>
      </c>
      <c r="B18" s="23"/>
      <c r="C18" s="6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ht="15.75">
      <c r="A25" s="2" t="s">
        <v>30</v>
      </c>
    </row>
  </sheetData>
  <sheetProtection/>
  <mergeCells count="37"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9">
      <selection activeCell="C15" sqref="C15:D15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58</v>
      </c>
      <c r="B1" s="8"/>
      <c r="C1" s="8"/>
      <c r="D1" s="8"/>
      <c r="E1" s="8"/>
      <c r="F1" s="8"/>
      <c r="G1" s="8"/>
      <c r="H1" s="8"/>
    </row>
    <row r="2" spans="1:8" ht="15.75">
      <c r="A2" s="9" t="s">
        <v>113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9.25" customHeight="1">
      <c r="A10" s="12" t="s">
        <v>24</v>
      </c>
      <c r="B10" s="13"/>
      <c r="C10" s="39">
        <v>-313374.59</v>
      </c>
      <c r="D10" s="17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89070.45+54621.65</f>
        <v>143692.1</v>
      </c>
      <c r="D11" s="15"/>
      <c r="E11" s="14">
        <f>189569.44+145991.75+37747.48+27960.1</f>
        <v>401268.76999999996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529446.42-E12</f>
        <v>128177.65000000008</v>
      </c>
      <c r="D12" s="15"/>
      <c r="E12" s="14">
        <f>E11</f>
        <v>401268.76999999996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78163.47</v>
      </c>
      <c r="D13" s="15"/>
      <c r="E13" s="15" t="s">
        <v>59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292056</v>
      </c>
      <c r="D14" s="15"/>
      <c r="E14" s="14">
        <f>E12</f>
        <v>401268.76999999996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-461738.49</v>
      </c>
      <c r="D15" s="15"/>
      <c r="E15" s="15">
        <v>0</v>
      </c>
      <c r="F15" s="15"/>
      <c r="G15" s="15">
        <v>0</v>
      </c>
      <c r="H15" s="15"/>
    </row>
    <row r="16" spans="1:3" ht="13.5" customHeight="1">
      <c r="A16" s="24"/>
      <c r="B16" s="24"/>
      <c r="C16" s="5"/>
    </row>
    <row r="17" spans="1:3" ht="12.75" customHeight="1">
      <c r="A17" s="24"/>
      <c r="B17" s="24"/>
      <c r="C17" s="5"/>
    </row>
    <row r="18" spans="1:3" ht="15.75">
      <c r="A18" s="23" t="s">
        <v>9</v>
      </c>
      <c r="B18" s="23"/>
      <c r="C18" s="6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6">
      <selection activeCell="C12" sqref="C12:D12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3" width="9.140625" style="2" customWidth="1"/>
    <col min="4" max="4" width="9.421875" style="2" customWidth="1"/>
    <col min="5" max="16384" width="9.140625" style="2" customWidth="1"/>
  </cols>
  <sheetData>
    <row r="1" spans="1:8" ht="15.75">
      <c r="A1" s="8" t="s">
        <v>60</v>
      </c>
      <c r="B1" s="8"/>
      <c r="C1" s="8"/>
      <c r="D1" s="8"/>
      <c r="E1" s="8"/>
      <c r="F1" s="8"/>
      <c r="G1" s="8"/>
      <c r="H1" s="8"/>
    </row>
    <row r="2" spans="1:8" ht="15.75">
      <c r="A2" s="9" t="s">
        <v>114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9.25" customHeight="1">
      <c r="A10" s="12" t="s">
        <v>61</v>
      </c>
      <c r="B10" s="13"/>
      <c r="C10" s="39">
        <v>-73537.22</v>
      </c>
      <c r="D10" s="17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92322.57+68381.69</f>
        <v>160704.26</v>
      </c>
      <c r="D11" s="15"/>
      <c r="E11" s="14">
        <f>152670.18+117132.45</f>
        <v>269802.63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412633.57-E12</f>
        <v>142830.94</v>
      </c>
      <c r="D12" s="15"/>
      <c r="E12" s="14">
        <f>E11</f>
        <v>269802.63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111584.3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176176</v>
      </c>
      <c r="D14" s="15"/>
      <c r="E14" s="14">
        <f>E12</f>
        <v>269802.63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-89008.95999999999</v>
      </c>
      <c r="D15" s="15"/>
      <c r="E15" s="15">
        <v>0</v>
      </c>
      <c r="F15" s="15"/>
      <c r="G15" s="15">
        <v>0</v>
      </c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  <row r="27" spans="1:7" ht="15.75">
      <c r="A27" s="23"/>
      <c r="B27" s="23"/>
      <c r="C27" s="23"/>
      <c r="D27" s="23"/>
      <c r="E27" s="23"/>
      <c r="F27" s="23"/>
      <c r="G27" s="23"/>
    </row>
    <row r="28" spans="1:7" ht="15.75">
      <c r="A28" s="23"/>
      <c r="B28" s="23"/>
      <c r="C28" s="23"/>
      <c r="D28" s="23"/>
      <c r="E28" s="23"/>
      <c r="F28" s="23"/>
      <c r="G28" s="4"/>
    </row>
  </sheetData>
  <sheetProtection/>
  <mergeCells count="40">
    <mergeCell ref="A27:G27"/>
    <mergeCell ref="A28:F28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85" zoomScalePageLayoutView="0" workbookViewId="0" topLeftCell="A19">
      <selection activeCell="A28" sqref="A28:IV30"/>
    </sheetView>
  </sheetViews>
  <sheetFormatPr defaultColWidth="9.140625" defaultRowHeight="12.75"/>
  <cols>
    <col min="1" max="1" width="9.140625" style="2" customWidth="1"/>
    <col min="2" max="2" width="25.8515625" style="2" customWidth="1"/>
    <col min="3" max="3" width="9.140625" style="2" customWidth="1"/>
    <col min="4" max="4" width="8.57421875" style="2" customWidth="1"/>
    <col min="5" max="5" width="9.140625" style="2" customWidth="1"/>
    <col min="6" max="6" width="7.57421875" style="2" customWidth="1"/>
    <col min="7" max="7" width="9.140625" style="2" customWidth="1"/>
    <col min="8" max="8" width="8.28125" style="2" customWidth="1"/>
    <col min="9" max="16384" width="9.140625" style="2" customWidth="1"/>
  </cols>
  <sheetData>
    <row r="1" spans="1:8" ht="15.75">
      <c r="A1" s="8" t="s">
        <v>34</v>
      </c>
      <c r="B1" s="8"/>
      <c r="C1" s="8"/>
      <c r="D1" s="8"/>
      <c r="E1" s="8"/>
      <c r="F1" s="8"/>
      <c r="G1" s="8"/>
      <c r="H1" s="8"/>
    </row>
    <row r="2" spans="1:8" ht="15.75">
      <c r="A2" s="9" t="s">
        <v>102</v>
      </c>
      <c r="B2" s="9"/>
      <c r="C2" s="9"/>
      <c r="D2" s="9"/>
      <c r="E2" s="9"/>
      <c r="F2" s="9"/>
      <c r="G2" s="9"/>
      <c r="H2" s="9"/>
    </row>
    <row r="3" spans="1:8" ht="15" customHeight="1">
      <c r="A3" s="8" t="s">
        <v>101</v>
      </c>
      <c r="B3" s="8"/>
      <c r="C3" s="8"/>
      <c r="D3" s="8"/>
      <c r="E3" s="8"/>
      <c r="F3" s="8"/>
      <c r="G3" s="8"/>
      <c r="H3" s="8"/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30" customHeight="1">
      <c r="A10" s="26" t="s">
        <v>24</v>
      </c>
      <c r="B10" s="27"/>
      <c r="C10" s="14">
        <v>175699.94</v>
      </c>
      <c r="D10" s="15"/>
      <c r="E10" s="16">
        <v>0</v>
      </c>
      <c r="F10" s="17"/>
      <c r="G10" s="16">
        <v>0</v>
      </c>
      <c r="H10" s="17"/>
    </row>
    <row r="11" spans="1:8" ht="15.75">
      <c r="A11" s="28" t="s">
        <v>3</v>
      </c>
      <c r="B11" s="28"/>
      <c r="C11" s="14">
        <f>23416.83+81964.96</f>
        <v>105381.79000000001</v>
      </c>
      <c r="D11" s="15"/>
      <c r="E11" s="14">
        <f>271074.11+228759.55</f>
        <v>499833.66</v>
      </c>
      <c r="F11" s="15"/>
      <c r="G11" s="15">
        <v>0</v>
      </c>
      <c r="H11" s="15"/>
    </row>
    <row r="12" spans="1:8" ht="15.75">
      <c r="A12" s="28" t="s">
        <v>4</v>
      </c>
      <c r="B12" s="28"/>
      <c r="C12" s="14">
        <f>577250.7-E12</f>
        <v>77417.03999999998</v>
      </c>
      <c r="D12" s="15"/>
      <c r="E12" s="14">
        <f>E11</f>
        <v>499833.66</v>
      </c>
      <c r="F12" s="15"/>
      <c r="G12" s="15">
        <v>0</v>
      </c>
      <c r="H12" s="15"/>
    </row>
    <row r="13" spans="1:8" ht="47.25" customHeight="1">
      <c r="A13" s="28" t="s">
        <v>5</v>
      </c>
      <c r="B13" s="28"/>
      <c r="C13" s="14">
        <v>180396.59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28" t="s">
        <v>6</v>
      </c>
      <c r="B14" s="28"/>
      <c r="C14" s="14">
        <v>406255</v>
      </c>
      <c r="D14" s="15"/>
      <c r="E14" s="14">
        <f>E12</f>
        <v>499833.66</v>
      </c>
      <c r="F14" s="15"/>
      <c r="G14" s="15">
        <v>0</v>
      </c>
      <c r="H14" s="15"/>
    </row>
    <row r="15" spans="1:8" ht="92.25" customHeight="1">
      <c r="A15" s="26" t="s">
        <v>100</v>
      </c>
      <c r="B15" s="27"/>
      <c r="C15" s="14">
        <f>C10+C11-C14</f>
        <v>-125173.27000000002</v>
      </c>
      <c r="D15" s="15"/>
      <c r="E15" s="15">
        <v>0</v>
      </c>
      <c r="F15" s="15"/>
      <c r="G15" s="15">
        <v>0</v>
      </c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4" ht="15.75">
      <c r="A20" s="23" t="s">
        <v>10</v>
      </c>
      <c r="B20" s="23"/>
      <c r="C20" s="23"/>
      <c r="D20" s="23"/>
    </row>
    <row r="21" spans="1:2" ht="15.75">
      <c r="A21" s="4"/>
      <c r="B21" s="4"/>
    </row>
    <row r="22" spans="1:2" ht="15.75">
      <c r="A22" s="23" t="s">
        <v>30</v>
      </c>
      <c r="B22" s="23"/>
    </row>
    <row r="24" spans="1:8" ht="15.75">
      <c r="A24" s="9"/>
      <c r="B24" s="9"/>
      <c r="C24" s="9"/>
      <c r="D24" s="9"/>
      <c r="E24" s="9"/>
      <c r="F24" s="9"/>
      <c r="G24" s="9"/>
      <c r="H24" s="9"/>
    </row>
    <row r="25" spans="1:7" ht="15.75">
      <c r="A25" s="23"/>
      <c r="B25" s="23"/>
      <c r="C25" s="23"/>
      <c r="D25" s="23"/>
      <c r="E25" s="23"/>
      <c r="F25" s="23"/>
      <c r="G25" s="23"/>
    </row>
  </sheetData>
  <sheetProtection/>
  <mergeCells count="40">
    <mergeCell ref="A25:G25"/>
    <mergeCell ref="A16:B16"/>
    <mergeCell ref="A17:B17"/>
    <mergeCell ref="A18:B18"/>
    <mergeCell ref="A20:D20"/>
    <mergeCell ref="A22:B22"/>
    <mergeCell ref="A24:H24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6">
      <selection activeCell="C15" sqref="C15:D15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62</v>
      </c>
      <c r="B1" s="8"/>
      <c r="C1" s="8"/>
      <c r="D1" s="8"/>
      <c r="E1" s="8"/>
      <c r="F1" s="8"/>
      <c r="G1" s="8"/>
      <c r="H1" s="8"/>
    </row>
    <row r="2" spans="1:8" ht="15.75">
      <c r="A2" s="9" t="s">
        <v>99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9.25" customHeight="1">
      <c r="A10" s="12" t="s">
        <v>24</v>
      </c>
      <c r="B10" s="13"/>
      <c r="C10" s="39">
        <v>-75217.36</v>
      </c>
      <c r="D10" s="17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121515.33+73457.8</f>
        <v>194973.13</v>
      </c>
      <c r="D11" s="15"/>
      <c r="E11" s="14">
        <f>201834.64+155382.49</f>
        <v>357217.13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558703.71-E12</f>
        <v>201486.57999999996</v>
      </c>
      <c r="D12" s="15"/>
      <c r="E12" s="14">
        <f>E11</f>
        <v>357217.13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79724.14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74512.4</v>
      </c>
      <c r="D14" s="15"/>
      <c r="E14" s="14">
        <f>E12</f>
        <v>357217.13</v>
      </c>
      <c r="F14" s="15"/>
      <c r="G14" s="15">
        <v>0</v>
      </c>
      <c r="H14" s="15"/>
    </row>
    <row r="15" spans="1:8" ht="92.25" customHeight="1">
      <c r="A15" s="18" t="s">
        <v>92</v>
      </c>
      <c r="B15" s="18"/>
      <c r="C15" s="14">
        <f>C10+C11-C14</f>
        <v>45243.37000000001</v>
      </c>
      <c r="D15" s="15"/>
      <c r="E15" s="15">
        <v>0</v>
      </c>
      <c r="F15" s="15"/>
      <c r="G15" s="15">
        <v>0</v>
      </c>
      <c r="H15" s="15"/>
    </row>
    <row r="16" spans="1:3" ht="13.5" customHeight="1">
      <c r="A16" s="24"/>
      <c r="B16" s="24"/>
      <c r="C16" s="5"/>
    </row>
    <row r="17" spans="1:3" ht="12.75" customHeight="1">
      <c r="A17" s="24"/>
      <c r="B17" s="24"/>
      <c r="C17" s="5"/>
    </row>
    <row r="18" spans="1:3" ht="15.75">
      <c r="A18" s="23" t="s">
        <v>9</v>
      </c>
      <c r="B18" s="23"/>
      <c r="C18" s="6"/>
    </row>
    <row r="19" spans="1:2" ht="15.75">
      <c r="A19" s="4"/>
      <c r="B19" s="4"/>
    </row>
    <row r="20" spans="1:2" ht="15.75">
      <c r="A20" s="23"/>
      <c r="B20" s="23"/>
    </row>
    <row r="21" spans="1:2" ht="15.75">
      <c r="A21" s="4"/>
      <c r="B21" s="4"/>
    </row>
    <row r="22" spans="1:2" ht="15.75">
      <c r="A22" s="23"/>
      <c r="B22" s="23"/>
    </row>
    <row r="23" spans="1:2" ht="15.75">
      <c r="A23" s="4"/>
      <c r="B23" s="4"/>
    </row>
    <row r="24" spans="1:4" ht="15.75">
      <c r="A24" s="23" t="s">
        <v>10</v>
      </c>
      <c r="B24" s="23"/>
      <c r="C24" s="23"/>
      <c r="D24" s="23"/>
    </row>
    <row r="25" spans="1:2" ht="15.75">
      <c r="A25" s="4"/>
      <c r="B25" s="4"/>
    </row>
    <row r="26" spans="1:2" ht="15.75">
      <c r="A26" s="23" t="s">
        <v>30</v>
      </c>
      <c r="B26" s="23"/>
    </row>
  </sheetData>
  <sheetProtection/>
  <mergeCells count="39">
    <mergeCell ref="A26:B26"/>
    <mergeCell ref="A16:B16"/>
    <mergeCell ref="A17:B17"/>
    <mergeCell ref="A18:B18"/>
    <mergeCell ref="A20:B20"/>
    <mergeCell ref="A22:B22"/>
    <mergeCell ref="A24:D24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6">
      <selection activeCell="C13" sqref="C13:D13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63</v>
      </c>
      <c r="B1" s="8"/>
      <c r="C1" s="8"/>
      <c r="D1" s="8"/>
      <c r="E1" s="8"/>
      <c r="F1" s="8"/>
      <c r="G1" s="8"/>
      <c r="H1" s="8"/>
    </row>
    <row r="2" spans="1:8" ht="15.75">
      <c r="A2" s="9" t="s">
        <v>115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8.5" customHeight="1">
      <c r="A10" s="12" t="s">
        <v>24</v>
      </c>
      <c r="B10" s="13"/>
      <c r="C10" s="39">
        <v>-255055.17</v>
      </c>
      <c r="D10" s="17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18108.06+63390.01</f>
        <v>81498.07</v>
      </c>
      <c r="D11" s="15"/>
      <c r="E11" s="14">
        <f>210566.95+177579.35</f>
        <v>388146.30000000005</v>
      </c>
      <c r="F11" s="15"/>
      <c r="G11" s="15"/>
      <c r="H11" s="15"/>
    </row>
    <row r="12" spans="1:8" ht="15.75">
      <c r="A12" s="18" t="s">
        <v>4</v>
      </c>
      <c r="B12" s="18"/>
      <c r="C12" s="14">
        <f>453213.71-E12</f>
        <v>65067.409999999974</v>
      </c>
      <c r="D12" s="15"/>
      <c r="E12" s="14">
        <f>E11</f>
        <v>388146.30000000005</v>
      </c>
      <c r="F12" s="15"/>
      <c r="G12" s="15"/>
      <c r="H12" s="15"/>
    </row>
    <row r="13" spans="1:8" ht="47.25" customHeight="1">
      <c r="A13" s="18" t="s">
        <v>5</v>
      </c>
      <c r="B13" s="18"/>
      <c r="C13" s="14">
        <v>134523.86</v>
      </c>
      <c r="D13" s="15"/>
      <c r="E13" s="15">
        <v>0</v>
      </c>
      <c r="F13" s="15"/>
      <c r="G13" s="15"/>
      <c r="H13" s="15"/>
    </row>
    <row r="14" spans="1:8" ht="33" customHeight="1">
      <c r="A14" s="18" t="s">
        <v>6</v>
      </c>
      <c r="B14" s="18"/>
      <c r="C14" s="14">
        <v>82145</v>
      </c>
      <c r="D14" s="15"/>
      <c r="E14" s="14">
        <f>E11</f>
        <v>388146.30000000005</v>
      </c>
      <c r="F14" s="15"/>
      <c r="G14" s="15"/>
      <c r="H14" s="15"/>
    </row>
    <row r="15" spans="1:8" ht="92.25" customHeight="1">
      <c r="A15" s="18" t="s">
        <v>11</v>
      </c>
      <c r="B15" s="18"/>
      <c r="C15" s="14">
        <f>C10+C11-C14</f>
        <v>-255702.1</v>
      </c>
      <c r="D15" s="15"/>
      <c r="E15" s="15">
        <v>0</v>
      </c>
      <c r="F15" s="15"/>
      <c r="G15" s="15"/>
      <c r="H15" s="15"/>
    </row>
    <row r="16" spans="1:3" ht="13.5" customHeight="1">
      <c r="A16" s="24"/>
      <c r="B16" s="24"/>
      <c r="C16" s="5"/>
    </row>
    <row r="17" spans="1:3" ht="12.75" customHeight="1">
      <c r="A17" s="24"/>
      <c r="B17" s="24"/>
      <c r="C17" s="5"/>
    </row>
    <row r="18" spans="1:3" ht="15.75">
      <c r="A18" s="23" t="s">
        <v>9</v>
      </c>
      <c r="B18" s="23"/>
      <c r="C18" s="6"/>
    </row>
    <row r="19" spans="1:2" ht="15.75">
      <c r="A19" s="4"/>
      <c r="B19" s="4"/>
    </row>
    <row r="20" spans="1:2" ht="15.75">
      <c r="A20" s="4"/>
      <c r="B20" s="4"/>
    </row>
    <row r="21" spans="1:2" ht="15.75">
      <c r="A21" s="4"/>
      <c r="B21" s="4"/>
    </row>
    <row r="22" spans="1:4" ht="15.75">
      <c r="A22" s="23" t="s">
        <v>10</v>
      </c>
      <c r="B22" s="23"/>
      <c r="C22" s="23"/>
      <c r="D22" s="23"/>
    </row>
    <row r="23" spans="1:2" ht="15.75">
      <c r="A23" s="4"/>
      <c r="B23" s="4"/>
    </row>
    <row r="24" spans="1:2" ht="15.75">
      <c r="A24" s="23" t="s">
        <v>32</v>
      </c>
      <c r="B24" s="23"/>
    </row>
    <row r="27" spans="1:8" ht="15.75">
      <c r="A27" s="23"/>
      <c r="B27" s="23"/>
      <c r="C27" s="23"/>
      <c r="D27" s="23"/>
      <c r="E27" s="23"/>
      <c r="F27" s="23"/>
      <c r="G27" s="23"/>
      <c r="H27" s="23"/>
    </row>
    <row r="28" spans="1:7" ht="15.75">
      <c r="A28" s="23"/>
      <c r="B28" s="23"/>
      <c r="C28" s="23"/>
      <c r="D28" s="23"/>
      <c r="E28" s="23"/>
      <c r="F28" s="23"/>
      <c r="G28" s="23"/>
    </row>
    <row r="30" spans="1:6" ht="15.75">
      <c r="A30" s="23"/>
      <c r="B30" s="23"/>
      <c r="C30" s="23"/>
      <c r="D30" s="23"/>
      <c r="E30" s="23"/>
      <c r="F30" s="23"/>
    </row>
    <row r="31" spans="1:6" ht="15.75">
      <c r="A31" s="23"/>
      <c r="B31" s="23"/>
      <c r="C31" s="23"/>
      <c r="D31" s="23"/>
      <c r="E31" s="23"/>
      <c r="F31" s="23"/>
    </row>
  </sheetData>
  <sheetProtection/>
  <mergeCells count="41">
    <mergeCell ref="A28:G28"/>
    <mergeCell ref="A30:F30"/>
    <mergeCell ref="A31:F31"/>
    <mergeCell ref="A16:B16"/>
    <mergeCell ref="A17:B17"/>
    <mergeCell ref="A18:B18"/>
    <mergeCell ref="A22:D22"/>
    <mergeCell ref="A24:B24"/>
    <mergeCell ref="A27:H2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6">
      <selection activeCell="C12" sqref="C12:D12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64</v>
      </c>
      <c r="B1" s="8"/>
      <c r="C1" s="8"/>
      <c r="D1" s="8"/>
      <c r="E1" s="8"/>
      <c r="F1" s="8"/>
      <c r="G1" s="8"/>
      <c r="H1" s="8"/>
    </row>
    <row r="2" spans="1:8" ht="15.75">
      <c r="A2" s="9" t="s">
        <v>116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30" customHeight="1">
      <c r="A10" s="12" t="s">
        <v>61</v>
      </c>
      <c r="B10" s="13"/>
      <c r="C10" s="39">
        <v>-183501.17</v>
      </c>
      <c r="D10" s="17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128432.09+79885.99</f>
        <v>208318.08000000002</v>
      </c>
      <c r="D11" s="15"/>
      <c r="E11" s="14">
        <f>212382.83+163576.04</f>
        <v>375958.87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557609.37-E12</f>
        <v>181650.5</v>
      </c>
      <c r="D12" s="15"/>
      <c r="E12" s="14">
        <f>E11</f>
        <v>375958.87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f>106975.39</f>
        <v>106975.39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181944.8</v>
      </c>
      <c r="D14" s="15"/>
      <c r="E14" s="14">
        <f>E11</f>
        <v>375958.87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-157127.88999999998</v>
      </c>
      <c r="D15" s="15"/>
      <c r="E15" s="15">
        <v>0</v>
      </c>
      <c r="F15" s="15"/>
      <c r="G15" s="15">
        <v>0</v>
      </c>
      <c r="H15" s="15"/>
    </row>
    <row r="16" spans="1:3" ht="13.5" customHeight="1">
      <c r="A16" s="24"/>
      <c r="B16" s="24"/>
      <c r="C16" s="5"/>
    </row>
    <row r="17" spans="1:3" ht="12.75" customHeight="1">
      <c r="A17" s="24"/>
      <c r="B17" s="24"/>
      <c r="C17" s="5"/>
    </row>
    <row r="18" spans="1:3" ht="15.75">
      <c r="A18" s="23" t="s">
        <v>9</v>
      </c>
      <c r="B18" s="23"/>
      <c r="C18" s="6"/>
    </row>
    <row r="19" spans="1:2" ht="15.75">
      <c r="A19" s="4"/>
      <c r="B19" s="4"/>
    </row>
    <row r="20" spans="1:2" ht="15.75">
      <c r="A20" s="23"/>
      <c r="B20" s="23"/>
    </row>
    <row r="21" spans="1:2" ht="15.75">
      <c r="A21" s="4"/>
      <c r="B21" s="4"/>
    </row>
    <row r="22" spans="1:2" ht="15.75">
      <c r="A22" s="23"/>
      <c r="B22" s="23"/>
    </row>
    <row r="23" spans="1:2" ht="15.75">
      <c r="A23" s="4"/>
      <c r="B23" s="4"/>
    </row>
    <row r="24" spans="1:4" ht="15.75">
      <c r="A24" s="23" t="s">
        <v>10</v>
      </c>
      <c r="B24" s="23"/>
      <c r="C24" s="23"/>
      <c r="D24" s="23"/>
    </row>
    <row r="25" spans="1:2" ht="15.75">
      <c r="A25" s="4"/>
      <c r="B25" s="4"/>
    </row>
    <row r="26" spans="1:2" ht="15.75">
      <c r="A26" s="23" t="s">
        <v>32</v>
      </c>
      <c r="B26" s="23"/>
    </row>
  </sheetData>
  <sheetProtection/>
  <mergeCells count="39">
    <mergeCell ref="A26:B26"/>
    <mergeCell ref="A16:B16"/>
    <mergeCell ref="A17:B17"/>
    <mergeCell ref="A18:B18"/>
    <mergeCell ref="A20:B20"/>
    <mergeCell ref="A22:B22"/>
    <mergeCell ref="A24:D24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6">
      <selection activeCell="C12" sqref="C12:D12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65</v>
      </c>
      <c r="B1" s="8"/>
      <c r="C1" s="8"/>
      <c r="D1" s="8"/>
      <c r="E1" s="8"/>
      <c r="F1" s="8"/>
      <c r="G1" s="8"/>
      <c r="H1" s="8"/>
    </row>
    <row r="2" spans="1:8" ht="15.75">
      <c r="A2" s="9" t="s">
        <v>66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8.5" customHeight="1">
      <c r="A10" s="12" t="s">
        <v>24</v>
      </c>
      <c r="B10" s="13"/>
      <c r="C10" s="39">
        <v>-88329.73</v>
      </c>
      <c r="D10" s="17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31242.82+19594.85</f>
        <v>50837.67</v>
      </c>
      <c r="D11" s="15"/>
      <c r="E11" s="14">
        <f>51664.97+39624.95</f>
        <v>91289.92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150208.88-E12</f>
        <v>58918.96000000001</v>
      </c>
      <c r="D12" s="15"/>
      <c r="E12" s="14">
        <f>E11</f>
        <v>91289.92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68317.66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7915</v>
      </c>
      <c r="D14" s="15"/>
      <c r="E14" s="14">
        <f>E11</f>
        <v>91289.92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-45407.06</v>
      </c>
      <c r="D15" s="15"/>
      <c r="E15" s="15">
        <v>0</v>
      </c>
      <c r="F15" s="15"/>
      <c r="G15" s="15">
        <v>0</v>
      </c>
      <c r="H15" s="15"/>
    </row>
    <row r="16" spans="1:3" ht="13.5" customHeight="1">
      <c r="A16" s="24"/>
      <c r="B16" s="24"/>
      <c r="C16" s="5"/>
    </row>
    <row r="17" spans="1:3" ht="12.75" customHeight="1">
      <c r="A17" s="24"/>
      <c r="B17" s="24"/>
      <c r="C17" s="5"/>
    </row>
    <row r="18" spans="1:3" ht="15.75">
      <c r="A18" s="23" t="s">
        <v>9</v>
      </c>
      <c r="B18" s="23"/>
      <c r="C18" s="6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6">
      <selection activeCell="C12" sqref="C12:D12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67</v>
      </c>
      <c r="B1" s="8"/>
      <c r="C1" s="8"/>
      <c r="D1" s="8"/>
      <c r="E1" s="8"/>
      <c r="F1" s="8"/>
      <c r="G1" s="8"/>
      <c r="H1" s="8"/>
    </row>
    <row r="2" spans="1:8" ht="15.75">
      <c r="A2" s="9" t="s">
        <v>68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30" customHeight="1">
      <c r="A10" s="12" t="s">
        <v>24</v>
      </c>
      <c r="B10" s="13"/>
      <c r="C10" s="39">
        <v>-41785.85</v>
      </c>
      <c r="D10" s="17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17283.14+10839.6</f>
        <v>28122.739999999998</v>
      </c>
      <c r="D11" s="15"/>
      <c r="E11" s="14">
        <f>28580.44+21920.1</f>
        <v>50500.53999999999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67051.35-E12</f>
        <v>16550.810000000012</v>
      </c>
      <c r="D12" s="15"/>
      <c r="E12" s="14">
        <f>E11</f>
        <v>50500.53999999999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19897.11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0</v>
      </c>
      <c r="D14" s="15"/>
      <c r="E14" s="14">
        <f>E12</f>
        <v>50500.53999999999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-13663.11</v>
      </c>
      <c r="D15" s="15"/>
      <c r="E15" s="15">
        <v>0</v>
      </c>
      <c r="F15" s="15"/>
      <c r="G15" s="15">
        <v>0</v>
      </c>
      <c r="H15" s="15"/>
    </row>
    <row r="16" spans="1:3" ht="13.5" customHeight="1">
      <c r="A16" s="24"/>
      <c r="B16" s="24"/>
      <c r="C16" s="5"/>
    </row>
    <row r="17" spans="1:3" ht="12.75" customHeight="1">
      <c r="A17" s="24"/>
      <c r="B17" s="24"/>
      <c r="C17" s="5"/>
    </row>
    <row r="18" spans="1:3" ht="15.75">
      <c r="A18" s="23" t="s">
        <v>9</v>
      </c>
      <c r="B18" s="23"/>
      <c r="C18" s="6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6">
      <selection activeCell="C13" sqref="C13:D13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69</v>
      </c>
      <c r="B1" s="8"/>
      <c r="C1" s="8"/>
      <c r="D1" s="8"/>
      <c r="E1" s="8"/>
      <c r="F1" s="8"/>
      <c r="G1" s="8"/>
      <c r="H1" s="8"/>
    </row>
    <row r="2" spans="1:8" ht="15.75">
      <c r="A2" s="9" t="s">
        <v>117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8.5" customHeight="1">
      <c r="A10" s="12" t="s">
        <v>24</v>
      </c>
      <c r="B10" s="13"/>
      <c r="C10" s="39">
        <v>-17064.93</v>
      </c>
      <c r="D10" s="17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9339.44+5889.75</f>
        <v>15229.19</v>
      </c>
      <c r="D11" s="15"/>
      <c r="E11" s="14">
        <f>15444.21+11910.35</f>
        <v>27354.559999999998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45340.48-E12</f>
        <v>17985.920000000006</v>
      </c>
      <c r="D12" s="15"/>
      <c r="E12" s="14">
        <f>E11</f>
        <v>27354.559999999998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f>5126.74</f>
        <v>5126.74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30606</v>
      </c>
      <c r="D14" s="15"/>
      <c r="E14" s="14">
        <f>E12</f>
        <v>27354.559999999998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-32441.739999999998</v>
      </c>
      <c r="D15" s="15"/>
      <c r="E15" s="15">
        <v>0</v>
      </c>
      <c r="F15" s="15"/>
      <c r="G15" s="15">
        <v>0</v>
      </c>
      <c r="H15" s="15"/>
    </row>
    <row r="16" spans="1:3" ht="13.5" customHeight="1">
      <c r="A16" s="24"/>
      <c r="B16" s="24"/>
      <c r="C16" s="5"/>
    </row>
    <row r="17" spans="1:3" ht="12.75" customHeight="1">
      <c r="A17" s="24"/>
      <c r="B17" s="24"/>
      <c r="C17" s="5"/>
    </row>
    <row r="18" spans="1:3" ht="15.75">
      <c r="A18" s="23" t="s">
        <v>9</v>
      </c>
      <c r="B18" s="23"/>
      <c r="C18" s="6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20">
      <selection activeCell="C15" sqref="C15:D15"/>
    </sheetView>
  </sheetViews>
  <sheetFormatPr defaultColWidth="9.140625" defaultRowHeight="12.75"/>
  <cols>
    <col min="1" max="1" width="9.140625" style="2" customWidth="1"/>
    <col min="2" max="2" width="12.00390625" style="2" customWidth="1"/>
    <col min="3" max="3" width="9.140625" style="2" customWidth="1"/>
    <col min="4" max="4" width="14.00390625" style="2" customWidth="1"/>
    <col min="5" max="16384" width="9.140625" style="2" customWidth="1"/>
  </cols>
  <sheetData>
    <row r="1" spans="1:8" ht="15.75">
      <c r="A1" s="8" t="s">
        <v>25</v>
      </c>
      <c r="B1" s="8"/>
      <c r="C1" s="8"/>
      <c r="D1" s="8"/>
      <c r="E1" s="8"/>
      <c r="F1" s="8"/>
      <c r="G1" s="8"/>
      <c r="H1" s="8"/>
    </row>
    <row r="2" spans="1:8" ht="15.75">
      <c r="A2" s="9" t="s">
        <v>97</v>
      </c>
      <c r="B2" s="9"/>
      <c r="C2" s="9"/>
      <c r="D2" s="9"/>
      <c r="E2" s="9"/>
      <c r="F2" s="9"/>
      <c r="G2" s="9"/>
      <c r="H2" s="9"/>
    </row>
    <row r="3" spans="1:9" ht="15.75">
      <c r="A3" s="8" t="s">
        <v>98</v>
      </c>
      <c r="B3" s="8"/>
      <c r="C3" s="8"/>
      <c r="D3" s="8"/>
      <c r="E3" s="8"/>
      <c r="F3" s="8"/>
      <c r="G3" s="8"/>
      <c r="H3" s="8"/>
      <c r="I3" s="7"/>
    </row>
    <row r="5" spans="1:8" ht="33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.75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30" customHeight="1">
      <c r="A10" s="12" t="s">
        <v>24</v>
      </c>
      <c r="B10" s="13"/>
      <c r="C10" s="14">
        <v>-3411.48</v>
      </c>
      <c r="D10" s="15"/>
      <c r="E10" s="16">
        <v>0</v>
      </c>
      <c r="F10" s="17"/>
      <c r="G10" s="16">
        <v>0</v>
      </c>
      <c r="H10" s="17"/>
    </row>
    <row r="11" spans="1:8" ht="25.5" customHeight="1">
      <c r="A11" s="18" t="s">
        <v>3</v>
      </c>
      <c r="B11" s="18"/>
      <c r="C11" s="14">
        <f>125759.63-2343.55+91095.75</f>
        <v>214511.83000000002</v>
      </c>
      <c r="D11" s="15"/>
      <c r="E11" s="14">
        <f>359964.88-34063.72+72876.6</f>
        <v>398777.76</v>
      </c>
      <c r="F11" s="15"/>
      <c r="G11" s="15">
        <v>0</v>
      </c>
      <c r="H11" s="15"/>
    </row>
    <row r="12" spans="1:8" ht="25.5" customHeight="1">
      <c r="A12" s="18" t="s">
        <v>4</v>
      </c>
      <c r="B12" s="18"/>
      <c r="C12" s="14">
        <f>807117.73-E12-191697+34063.74</f>
        <v>250706.70999999996</v>
      </c>
      <c r="D12" s="15"/>
      <c r="E12" s="14">
        <f>E11</f>
        <v>398777.76</v>
      </c>
      <c r="F12" s="15"/>
      <c r="G12" s="15">
        <v>0</v>
      </c>
      <c r="H12" s="15"/>
    </row>
    <row r="13" spans="1:8" ht="56.25" customHeight="1">
      <c r="A13" s="18" t="s">
        <v>5</v>
      </c>
      <c r="B13" s="18"/>
      <c r="C13" s="14">
        <v>102451.4</v>
      </c>
      <c r="D13" s="15"/>
      <c r="E13" s="15" t="s">
        <v>59</v>
      </c>
      <c r="F13" s="15"/>
      <c r="G13" s="15">
        <v>0</v>
      </c>
      <c r="H13" s="15"/>
    </row>
    <row r="14" spans="1:8" ht="50.25" customHeight="1">
      <c r="A14" s="18" t="s">
        <v>6</v>
      </c>
      <c r="B14" s="18"/>
      <c r="C14" s="14">
        <v>74464</v>
      </c>
      <c r="D14" s="15"/>
      <c r="E14" s="14">
        <f>E11</f>
        <v>398777.76</v>
      </c>
      <c r="F14" s="15"/>
      <c r="G14" s="15">
        <v>0</v>
      </c>
      <c r="H14" s="15"/>
    </row>
    <row r="15" spans="1:8" ht="122.25" customHeight="1">
      <c r="A15" s="18" t="s">
        <v>11</v>
      </c>
      <c r="B15" s="18"/>
      <c r="C15" s="14">
        <f>C10+C11-C14</f>
        <v>136636.35</v>
      </c>
      <c r="D15" s="15"/>
      <c r="E15" s="15">
        <v>0</v>
      </c>
      <c r="F15" s="15"/>
      <c r="G15" s="15">
        <v>0</v>
      </c>
      <c r="H15" s="15"/>
    </row>
    <row r="16" spans="1:2" ht="15.75">
      <c r="A16" s="24"/>
      <c r="B16" s="24"/>
    </row>
    <row r="17" spans="1:2" ht="15.75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9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15" zoomScaleSheetLayoutView="115" zoomScalePageLayoutView="0" workbookViewId="0" topLeftCell="A4">
      <selection activeCell="E15" sqref="E15:F15"/>
    </sheetView>
  </sheetViews>
  <sheetFormatPr defaultColWidth="9.140625" defaultRowHeight="12.75"/>
  <cols>
    <col min="1" max="1" width="9.140625" style="2" customWidth="1"/>
    <col min="2" max="2" width="13.57421875" style="2" customWidth="1"/>
    <col min="3" max="3" width="9.140625" style="2" customWidth="1"/>
    <col min="4" max="4" width="12.7109375" style="2" customWidth="1"/>
    <col min="5" max="16384" width="9.140625" style="2" customWidth="1"/>
  </cols>
  <sheetData>
    <row r="1" spans="1:8" ht="15.75">
      <c r="A1" s="8" t="s">
        <v>26</v>
      </c>
      <c r="B1" s="8"/>
      <c r="C1" s="8"/>
      <c r="D1" s="8"/>
      <c r="E1" s="8"/>
      <c r="F1" s="8"/>
      <c r="G1" s="8"/>
      <c r="H1" s="8"/>
    </row>
    <row r="2" spans="1:8" ht="15.75">
      <c r="A2" s="9" t="s">
        <v>118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15.75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15.75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30.75" customHeight="1">
      <c r="A10" s="12" t="s">
        <v>24</v>
      </c>
      <c r="B10" s="13"/>
      <c r="C10" s="14">
        <v>-76891.82</v>
      </c>
      <c r="D10" s="15"/>
      <c r="E10" s="16"/>
      <c r="F10" s="17"/>
      <c r="G10" s="16">
        <v>0</v>
      </c>
      <c r="H10" s="17"/>
    </row>
    <row r="11" spans="1:8" ht="16.5" customHeight="1">
      <c r="A11" s="18" t="s">
        <v>3</v>
      </c>
      <c r="B11" s="18"/>
      <c r="C11" s="14">
        <f>90709.76-36952.16+90675.91</f>
        <v>144433.51</v>
      </c>
      <c r="D11" s="15"/>
      <c r="E11" s="14">
        <f>371583.29-36952.19+65746.68</f>
        <v>400377.77999999997</v>
      </c>
      <c r="F11" s="15"/>
      <c r="G11" s="15">
        <v>0</v>
      </c>
      <c r="H11" s="15"/>
    </row>
    <row r="12" spans="1:8" ht="15.75" customHeight="1">
      <c r="A12" s="18" t="s">
        <v>4</v>
      </c>
      <c r="B12" s="18"/>
      <c r="C12" s="14">
        <f>821254.47-E12-201014.39+36952.18</f>
        <v>256814.47999999998</v>
      </c>
      <c r="D12" s="15"/>
      <c r="E12" s="14">
        <f>E11</f>
        <v>400377.77999999997</v>
      </c>
      <c r="F12" s="15"/>
      <c r="G12" s="15">
        <v>0</v>
      </c>
      <c r="H12" s="15"/>
    </row>
    <row r="13" spans="1:8" ht="48" customHeight="1">
      <c r="A13" s="18" t="s">
        <v>5</v>
      </c>
      <c r="B13" s="18"/>
      <c r="C13" s="14">
        <v>172965.24</v>
      </c>
      <c r="D13" s="15"/>
      <c r="E13" s="15">
        <v>0</v>
      </c>
      <c r="F13" s="15"/>
      <c r="G13" s="15">
        <v>0</v>
      </c>
      <c r="H13" s="15"/>
    </row>
    <row r="14" spans="1:8" ht="51.75" customHeight="1">
      <c r="A14" s="26" t="s">
        <v>6</v>
      </c>
      <c r="B14" s="27"/>
      <c r="C14" s="14">
        <v>92292.1</v>
      </c>
      <c r="D14" s="15"/>
      <c r="E14" s="14">
        <f>E11</f>
        <v>400377.77999999997</v>
      </c>
      <c r="F14" s="15"/>
      <c r="G14" s="15">
        <v>0</v>
      </c>
      <c r="H14" s="15"/>
    </row>
    <row r="15" spans="1:8" ht="141.75" customHeight="1">
      <c r="A15" s="26" t="s">
        <v>11</v>
      </c>
      <c r="B15" s="27"/>
      <c r="C15" s="14">
        <f>C10+C11-C14</f>
        <v>-24750.410000000003</v>
      </c>
      <c r="D15" s="15"/>
      <c r="E15" s="15">
        <v>0</v>
      </c>
      <c r="F15" s="15"/>
      <c r="G15" s="15">
        <v>0</v>
      </c>
      <c r="H15" s="15"/>
    </row>
    <row r="16" spans="1:2" ht="15.75">
      <c r="A16" s="24"/>
      <c r="B16" s="24"/>
    </row>
    <row r="17" spans="1:2" ht="15.75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85" zoomScalePageLayoutView="0" workbookViewId="0" topLeftCell="A16">
      <selection activeCell="C14" sqref="C14:D14"/>
    </sheetView>
  </sheetViews>
  <sheetFormatPr defaultColWidth="9.140625" defaultRowHeight="12.75"/>
  <cols>
    <col min="1" max="1" width="9.140625" style="2" customWidth="1"/>
    <col min="2" max="2" width="14.7109375" style="2" customWidth="1"/>
    <col min="3" max="16384" width="9.140625" style="2" customWidth="1"/>
  </cols>
  <sheetData>
    <row r="1" spans="1:8" ht="15.75">
      <c r="A1" s="8" t="s">
        <v>70</v>
      </c>
      <c r="B1" s="8"/>
      <c r="C1" s="8"/>
      <c r="D1" s="8"/>
      <c r="E1" s="8"/>
      <c r="F1" s="8"/>
      <c r="G1" s="8"/>
      <c r="H1" s="8"/>
    </row>
    <row r="2" spans="1:8" ht="15.75">
      <c r="A2" s="9" t="s">
        <v>71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15.75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15.75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31.5" customHeight="1">
      <c r="A10" s="12" t="s">
        <v>24</v>
      </c>
      <c r="B10" s="13"/>
      <c r="C10" s="14">
        <v>-101204.39</v>
      </c>
      <c r="D10" s="15"/>
      <c r="E10" s="16" t="s">
        <v>59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142168.32+89164.8</f>
        <v>231333.12</v>
      </c>
      <c r="D11" s="15"/>
      <c r="E11" s="14">
        <f>260411.13+198391.95+86383.8</f>
        <v>545186.88</v>
      </c>
      <c r="F11" s="15"/>
      <c r="G11" s="15">
        <v>0</v>
      </c>
      <c r="H11" s="15"/>
    </row>
    <row r="12" spans="1:8" ht="13.5" customHeight="1">
      <c r="A12" s="18" t="s">
        <v>4</v>
      </c>
      <c r="B12" s="18"/>
      <c r="C12" s="14">
        <f>922319.71-E12-201806.63</f>
        <v>175326.19999999995</v>
      </c>
      <c r="D12" s="15"/>
      <c r="E12" s="14">
        <f>E11</f>
        <v>545186.88</v>
      </c>
      <c r="F12" s="15"/>
      <c r="G12" s="15">
        <v>0</v>
      </c>
      <c r="H12" s="15"/>
    </row>
    <row r="13" spans="1:8" ht="57" customHeight="1">
      <c r="A13" s="18" t="s">
        <v>5</v>
      </c>
      <c r="B13" s="18"/>
      <c r="C13" s="14">
        <v>287371.75</v>
      </c>
      <c r="D13" s="15"/>
      <c r="E13" s="15">
        <v>0</v>
      </c>
      <c r="F13" s="15"/>
      <c r="G13" s="15">
        <v>0</v>
      </c>
      <c r="H13" s="15"/>
    </row>
    <row r="14" spans="1:8" ht="44.25" customHeight="1">
      <c r="A14" s="18" t="s">
        <v>6</v>
      </c>
      <c r="B14" s="18"/>
      <c r="C14" s="14">
        <v>257178</v>
      </c>
      <c r="D14" s="15"/>
      <c r="E14" s="14">
        <f>E11</f>
        <v>545186.88</v>
      </c>
      <c r="F14" s="15"/>
      <c r="G14" s="15">
        <v>0</v>
      </c>
      <c r="H14" s="15"/>
    </row>
    <row r="15" spans="1:8" ht="99" customHeight="1">
      <c r="A15" s="18" t="s">
        <v>11</v>
      </c>
      <c r="B15" s="18"/>
      <c r="C15" s="14">
        <f>C10+C11-C14</f>
        <v>-127049.27</v>
      </c>
      <c r="D15" s="15"/>
      <c r="E15" s="15">
        <v>0</v>
      </c>
      <c r="F15" s="15"/>
      <c r="G15" s="15">
        <v>0</v>
      </c>
      <c r="H15" s="15"/>
    </row>
    <row r="16" spans="1:2" ht="15.75">
      <c r="A16" s="24"/>
      <c r="B16" s="24"/>
    </row>
    <row r="17" spans="1:2" ht="15.75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60" zoomScalePageLayoutView="0" workbookViewId="0" topLeftCell="A1">
      <selection activeCell="C14" sqref="C14:D14"/>
    </sheetView>
  </sheetViews>
  <sheetFormatPr defaultColWidth="9.140625" defaultRowHeight="12.75"/>
  <cols>
    <col min="1" max="1" width="9.140625" style="2" customWidth="1"/>
    <col min="2" max="2" width="14.8515625" style="2" customWidth="1"/>
    <col min="3" max="16384" width="9.140625" style="2" customWidth="1"/>
  </cols>
  <sheetData>
    <row r="1" spans="1:8" ht="15.75">
      <c r="A1" s="8" t="s">
        <v>27</v>
      </c>
      <c r="B1" s="8"/>
      <c r="C1" s="8"/>
      <c r="D1" s="8"/>
      <c r="E1" s="8"/>
      <c r="F1" s="8"/>
      <c r="G1" s="8"/>
      <c r="H1" s="8"/>
    </row>
    <row r="2" spans="1:8" ht="15.75">
      <c r="A2" s="9" t="s">
        <v>96</v>
      </c>
      <c r="B2" s="9"/>
      <c r="C2" s="9"/>
      <c r="D2" s="9"/>
      <c r="E2" s="9"/>
      <c r="F2" s="9"/>
      <c r="G2" s="9"/>
      <c r="H2" s="9"/>
    </row>
    <row r="3" spans="1:9" ht="15" customHeight="1">
      <c r="A3" s="8" t="s">
        <v>98</v>
      </c>
      <c r="B3" s="8"/>
      <c r="C3" s="8"/>
      <c r="D3" s="8"/>
      <c r="E3" s="8"/>
      <c r="F3" s="8"/>
      <c r="G3" s="8"/>
      <c r="H3" s="8"/>
      <c r="I3" s="8"/>
    </row>
    <row r="5" spans="1:8" ht="15" customHeight="1">
      <c r="A5" s="10" t="s">
        <v>7</v>
      </c>
      <c r="B5" s="10"/>
      <c r="C5" s="10"/>
      <c r="D5" s="10"/>
      <c r="E5" s="10"/>
      <c r="F5" s="10"/>
      <c r="G5" s="10"/>
      <c r="H5" s="10"/>
    </row>
    <row r="6" spans="1:8" ht="20.25" customHeight="1">
      <c r="A6" s="10"/>
      <c r="B6" s="10"/>
      <c r="C6" s="10"/>
      <c r="D6" s="10"/>
      <c r="E6" s="10"/>
      <c r="F6" s="10"/>
      <c r="G6" s="10"/>
      <c r="H6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15.75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35.25" customHeight="1">
      <c r="A10" s="12" t="s">
        <v>24</v>
      </c>
      <c r="B10" s="13"/>
      <c r="C10" s="14">
        <v>-175748.21</v>
      </c>
      <c r="D10" s="15"/>
      <c r="E10" s="16"/>
      <c r="F10" s="17"/>
      <c r="G10" s="16">
        <v>0</v>
      </c>
      <c r="H10" s="17"/>
    </row>
    <row r="11" spans="1:8" ht="16.5" customHeight="1">
      <c r="A11" s="18" t="s">
        <v>3</v>
      </c>
      <c r="B11" s="18"/>
      <c r="C11" s="14">
        <f>120504.03-40051.16+36470.7+65647.26+3647.07</f>
        <v>186217.9</v>
      </c>
      <c r="D11" s="15"/>
      <c r="E11" s="14">
        <f>383766.94-39849.52+72941.41</f>
        <v>416858.82999999996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879828.24-206840.16+40051.17-E12</f>
        <v>296180.42000000004</v>
      </c>
      <c r="D12" s="15"/>
      <c r="E12" s="14">
        <f>E11</f>
        <v>416858.82999999996</v>
      </c>
      <c r="F12" s="15"/>
      <c r="G12" s="15">
        <v>0</v>
      </c>
      <c r="H12" s="15"/>
    </row>
    <row r="13" spans="1:8" ht="76.5" customHeight="1">
      <c r="A13" s="26" t="s">
        <v>5</v>
      </c>
      <c r="B13" s="27"/>
      <c r="C13" s="14">
        <v>158633.98</v>
      </c>
      <c r="D13" s="15"/>
      <c r="E13" s="15">
        <v>0</v>
      </c>
      <c r="F13" s="15"/>
      <c r="G13" s="15"/>
      <c r="H13" s="15"/>
    </row>
    <row r="14" spans="1:8" ht="48.75" customHeight="1">
      <c r="A14" s="26" t="s">
        <v>6</v>
      </c>
      <c r="B14" s="27"/>
      <c r="C14" s="14">
        <v>93158.28</v>
      </c>
      <c r="D14" s="15"/>
      <c r="E14" s="14">
        <f>E12</f>
        <v>416858.82999999996</v>
      </c>
      <c r="F14" s="15"/>
      <c r="G14" s="15">
        <v>0</v>
      </c>
      <c r="H14" s="15"/>
    </row>
    <row r="15" spans="1:8" ht="123" customHeight="1">
      <c r="A15" s="26" t="s">
        <v>11</v>
      </c>
      <c r="B15" s="27"/>
      <c r="C15" s="14">
        <f>C10+C11-C14</f>
        <v>-82688.59</v>
      </c>
      <c r="D15" s="15"/>
      <c r="E15" s="15">
        <v>0</v>
      </c>
      <c r="F15" s="15"/>
      <c r="G15" s="15">
        <v>0</v>
      </c>
      <c r="H15" s="15"/>
    </row>
    <row r="16" spans="1:2" ht="15.75">
      <c r="A16" s="24"/>
      <c r="B16" s="24"/>
    </row>
    <row r="17" spans="1:2" ht="15.75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9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7:H7"/>
    <mergeCell ref="A9:B9"/>
    <mergeCell ref="C9:D9"/>
    <mergeCell ref="E9:F9"/>
    <mergeCell ref="G9:H9"/>
    <mergeCell ref="A3:I3"/>
    <mergeCell ref="A5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85" zoomScalePageLayoutView="0" workbookViewId="0" topLeftCell="A16">
      <selection activeCell="A27" sqref="A27:IV30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35</v>
      </c>
      <c r="B1" s="8"/>
      <c r="C1" s="8"/>
      <c r="D1" s="8"/>
      <c r="E1" s="8"/>
      <c r="F1" s="8"/>
      <c r="G1" s="8"/>
      <c r="H1" s="8"/>
    </row>
    <row r="2" spans="1:8" ht="15.75">
      <c r="A2" s="9" t="s">
        <v>36</v>
      </c>
      <c r="B2" s="9"/>
      <c r="C2" s="9"/>
      <c r="D2" s="9"/>
      <c r="E2" s="9"/>
      <c r="F2" s="9"/>
      <c r="G2" s="9"/>
      <c r="H2" s="9"/>
    </row>
    <row r="3" spans="1:8" ht="15" customHeight="1">
      <c r="A3" s="8" t="s">
        <v>98</v>
      </c>
      <c r="B3" s="8"/>
      <c r="C3" s="8"/>
      <c r="D3" s="8"/>
      <c r="E3" s="8"/>
      <c r="F3" s="8"/>
      <c r="G3" s="8"/>
      <c r="H3" s="8"/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30" customHeight="1">
      <c r="A10" s="12" t="s">
        <v>24</v>
      </c>
      <c r="B10" s="13"/>
      <c r="C10" s="14">
        <v>57373.37</v>
      </c>
      <c r="D10" s="15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86407.24+54192.59</f>
        <v>140599.83000000002</v>
      </c>
      <c r="D11" s="15"/>
      <c r="E11" s="14">
        <f>142887.6+109589.12</f>
        <v>252476.72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374558.85-E12</f>
        <v>122082.12999999998</v>
      </c>
      <c r="D12" s="15"/>
      <c r="E12" s="14">
        <f>E11</f>
        <v>252476.72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59842.27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125567</v>
      </c>
      <c r="D14" s="15"/>
      <c r="E14" s="14">
        <f>E12</f>
        <v>252476.72</v>
      </c>
      <c r="F14" s="15"/>
      <c r="G14" s="15">
        <v>0</v>
      </c>
      <c r="H14" s="15"/>
    </row>
    <row r="15" spans="1:8" ht="92.25" customHeight="1">
      <c r="A15" s="18" t="s">
        <v>92</v>
      </c>
      <c r="B15" s="18"/>
      <c r="C15" s="14">
        <f>C10+C11-C14</f>
        <v>72406.20000000001</v>
      </c>
      <c r="D15" s="15"/>
      <c r="E15" s="15">
        <v>0</v>
      </c>
      <c r="F15" s="15"/>
      <c r="G15" s="15">
        <v>0</v>
      </c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9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5"/>
  <sheetViews>
    <sheetView zoomScale="55" zoomScaleNormal="55" zoomScalePageLayoutView="0" workbookViewId="0" topLeftCell="A1">
      <selection activeCell="C14" sqref="C14:D14"/>
    </sheetView>
  </sheetViews>
  <sheetFormatPr defaultColWidth="9.140625" defaultRowHeight="12.75"/>
  <cols>
    <col min="1" max="1" width="9.140625" style="2" customWidth="1"/>
    <col min="2" max="2" width="14.57421875" style="2" customWidth="1"/>
    <col min="3" max="16384" width="9.140625" style="2" customWidth="1"/>
  </cols>
  <sheetData>
    <row r="1" spans="1:8" ht="15.75">
      <c r="A1" s="8" t="s">
        <v>28</v>
      </c>
      <c r="B1" s="8"/>
      <c r="C1" s="8"/>
      <c r="D1" s="8"/>
      <c r="E1" s="8"/>
      <c r="F1" s="8"/>
      <c r="G1" s="8"/>
      <c r="H1" s="8"/>
    </row>
    <row r="2" spans="1:8" ht="15.75">
      <c r="A2" s="9" t="s">
        <v>95</v>
      </c>
      <c r="B2" s="9"/>
      <c r="C2" s="9"/>
      <c r="D2" s="9"/>
      <c r="E2" s="9"/>
      <c r="F2" s="9"/>
      <c r="G2" s="9"/>
      <c r="H2" s="9"/>
    </row>
    <row r="3" spans="1:8" ht="15" customHeight="1">
      <c r="A3" s="8" t="s">
        <v>98</v>
      </c>
      <c r="B3" s="8"/>
      <c r="C3" s="8"/>
      <c r="D3" s="8"/>
      <c r="E3" s="8"/>
      <c r="F3" s="8"/>
      <c r="G3" s="8"/>
      <c r="H3" s="8"/>
    </row>
    <row r="5" spans="1:8" ht="35.25" customHeight="1">
      <c r="A5" s="10" t="s">
        <v>94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15.75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8.5" customHeight="1">
      <c r="A10" s="12" t="s">
        <v>24</v>
      </c>
      <c r="B10" s="13"/>
      <c r="C10" s="14">
        <v>-272877.47</v>
      </c>
      <c r="D10" s="15"/>
      <c r="E10" s="16"/>
      <c r="F10" s="17"/>
      <c r="G10" s="16">
        <v>0</v>
      </c>
      <c r="H10" s="17"/>
    </row>
    <row r="11" spans="1:8" ht="15.75">
      <c r="A11" s="18" t="s">
        <v>3</v>
      </c>
      <c r="B11" s="18"/>
      <c r="C11" s="14">
        <f>194887.23-21708.14+64703.18</f>
        <v>237882.27000000002</v>
      </c>
      <c r="D11" s="15"/>
      <c r="E11" s="14">
        <f>358485.08-21708.18+72688.2</f>
        <v>409465.10000000003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875985.36-E12-191996.84+21708.14</f>
        <v>296231.55999999994</v>
      </c>
      <c r="D12" s="15"/>
      <c r="E12" s="14">
        <f>E11</f>
        <v>409465.10000000003</v>
      </c>
      <c r="F12" s="15"/>
      <c r="G12" s="15">
        <v>0</v>
      </c>
      <c r="H12" s="15"/>
    </row>
    <row r="13" spans="1:8" ht="49.5" customHeight="1">
      <c r="A13" s="18" t="s">
        <v>5</v>
      </c>
      <c r="B13" s="18"/>
      <c r="C13" s="14">
        <v>135473.41</v>
      </c>
      <c r="D13" s="15"/>
      <c r="E13" s="15">
        <v>0</v>
      </c>
      <c r="F13" s="15"/>
      <c r="G13" s="15">
        <v>0</v>
      </c>
      <c r="H13" s="15"/>
    </row>
    <row r="14" spans="1:8" ht="30.75" customHeight="1">
      <c r="A14" s="18" t="s">
        <v>6</v>
      </c>
      <c r="B14" s="18"/>
      <c r="C14" s="14">
        <v>31618</v>
      </c>
      <c r="D14" s="15"/>
      <c r="E14" s="14">
        <f>E11</f>
        <v>409465.10000000003</v>
      </c>
      <c r="F14" s="15"/>
      <c r="G14" s="15">
        <v>0</v>
      </c>
      <c r="H14" s="15"/>
    </row>
    <row r="15" spans="1:8" ht="96" customHeight="1">
      <c r="A15" s="18" t="s">
        <v>11</v>
      </c>
      <c r="B15" s="18"/>
      <c r="C15" s="14">
        <f>C10+C11-C14</f>
        <v>-66613.19999999995</v>
      </c>
      <c r="D15" s="15"/>
      <c r="E15" s="15">
        <v>0</v>
      </c>
      <c r="F15" s="15"/>
      <c r="G15" s="15">
        <v>0</v>
      </c>
      <c r="H15" s="15"/>
    </row>
    <row r="16" spans="1:2" ht="15.75">
      <c r="A16" s="24"/>
      <c r="B16" s="24"/>
    </row>
    <row r="17" spans="1:2" ht="15.75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9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2"/>
  <sheetViews>
    <sheetView zoomScale="70" zoomScaleNormal="70" zoomScaleSheetLayoutView="85" zoomScalePageLayoutView="0" workbookViewId="0" topLeftCell="A2">
      <selection activeCell="A2" sqref="A2:H2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132</v>
      </c>
      <c r="B1" s="8"/>
      <c r="C1" s="8"/>
      <c r="D1" s="8"/>
      <c r="E1" s="8"/>
      <c r="F1" s="8"/>
      <c r="G1" s="8"/>
      <c r="H1" s="8"/>
    </row>
    <row r="2" spans="1:8" ht="15.75">
      <c r="A2" s="9" t="s">
        <v>131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30" customHeight="1">
      <c r="A10" s="12" t="s">
        <v>24</v>
      </c>
      <c r="B10" s="13"/>
      <c r="C10" s="14">
        <v>0</v>
      </c>
      <c r="D10" s="15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v>29772.64</v>
      </c>
      <c r="D11" s="15"/>
      <c r="E11" s="14">
        <v>58264.76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v>0</v>
      </c>
      <c r="D12" s="15"/>
      <c r="E12" s="14">
        <v>52470.17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35567.23</v>
      </c>
      <c r="D13" s="15"/>
      <c r="E13" s="14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0</v>
      </c>
      <c r="D14" s="15"/>
      <c r="E14" s="14">
        <f>E11</f>
        <v>58264.76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29772.64</v>
      </c>
      <c r="D15" s="15"/>
      <c r="E15" s="15">
        <v>0</v>
      </c>
      <c r="F15" s="15"/>
      <c r="G15" s="15">
        <v>0</v>
      </c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89</v>
      </c>
      <c r="B25" s="23"/>
    </row>
    <row r="32" spans="1:3" ht="15.75">
      <c r="A32" s="9"/>
      <c r="B32" s="9"/>
      <c r="C32" s="9"/>
    </row>
  </sheetData>
  <sheetProtection/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32:C32"/>
    <mergeCell ref="A16:B16"/>
    <mergeCell ref="A17:B17"/>
    <mergeCell ref="A18:B18"/>
    <mergeCell ref="A21:B21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9"/>
  <sheetViews>
    <sheetView zoomScale="55" zoomScaleNormal="55" zoomScaleSheetLayoutView="85" zoomScalePageLayoutView="0" workbookViewId="0" topLeftCell="A1">
      <selection activeCell="C12" sqref="C12:D12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72</v>
      </c>
      <c r="B1" s="8"/>
      <c r="C1" s="8"/>
      <c r="D1" s="8"/>
      <c r="E1" s="8"/>
      <c r="F1" s="8"/>
      <c r="G1" s="8"/>
      <c r="H1" s="8"/>
    </row>
    <row r="2" spans="1:8" ht="15.75">
      <c r="A2" s="9" t="s">
        <v>119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9.25" customHeight="1">
      <c r="A10" s="12" t="s">
        <v>24</v>
      </c>
      <c r="B10" s="13"/>
      <c r="C10" s="39">
        <v>48653.61</v>
      </c>
      <c r="D10" s="17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57449.71-2199.24+95885.5</f>
        <v>151135.97</v>
      </c>
      <c r="D11" s="15"/>
      <c r="E11" s="14">
        <f>202252.83-460.35+157879.22-522.12-514.92</f>
        <v>358634.66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504504.92-E12</f>
        <v>145870.26</v>
      </c>
      <c r="D12" s="15"/>
      <c r="E12" s="14">
        <f>E11</f>
        <v>358634.66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115733.95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192250</v>
      </c>
      <c r="D14" s="15"/>
      <c r="E14" s="14">
        <f>E12</f>
        <v>358634.66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7539.580000000016</v>
      </c>
      <c r="D15" s="15"/>
      <c r="E15" s="15">
        <v>0</v>
      </c>
      <c r="F15" s="15"/>
      <c r="G15" s="15">
        <v>0</v>
      </c>
      <c r="H15" s="15"/>
    </row>
    <row r="16" spans="1:3" ht="13.5" customHeight="1">
      <c r="A16" s="24"/>
      <c r="B16" s="24"/>
      <c r="C16" s="5"/>
    </row>
    <row r="17" spans="1:3" ht="12.75" customHeight="1">
      <c r="A17" s="24"/>
      <c r="B17" s="24"/>
      <c r="C17" s="5"/>
    </row>
    <row r="18" spans="1:3" ht="15.75">
      <c r="A18" s="23" t="s">
        <v>9</v>
      </c>
      <c r="B18" s="23"/>
      <c r="C18" s="6"/>
    </row>
    <row r="19" spans="1:2" ht="15.75">
      <c r="A19" s="4"/>
      <c r="B19" s="4"/>
    </row>
    <row r="20" spans="1:2" ht="15.75">
      <c r="A20" s="23"/>
      <c r="B20" s="23"/>
    </row>
    <row r="21" spans="1:2" ht="15.75">
      <c r="A21" s="4"/>
      <c r="B21" s="4"/>
    </row>
    <row r="22" spans="1:2" ht="15.75">
      <c r="A22" s="23"/>
      <c r="B22" s="23"/>
    </row>
    <row r="23" spans="1:2" ht="15.75">
      <c r="A23" s="4"/>
      <c r="B23" s="4"/>
    </row>
    <row r="24" spans="1:4" ht="15.75">
      <c r="A24" s="23" t="s">
        <v>10</v>
      </c>
      <c r="B24" s="23"/>
      <c r="C24" s="23"/>
      <c r="D24" s="23"/>
    </row>
    <row r="25" spans="1:2" ht="15.75">
      <c r="A25" s="4"/>
      <c r="B25" s="4"/>
    </row>
    <row r="26" spans="1:2" ht="15.75">
      <c r="A26" s="23" t="s">
        <v>32</v>
      </c>
      <c r="B26" s="23"/>
    </row>
    <row r="28" spans="1:7" ht="15.75">
      <c r="A28" s="23"/>
      <c r="B28" s="23"/>
      <c r="C28" s="23"/>
      <c r="D28" s="23"/>
      <c r="E28" s="23"/>
      <c r="F28" s="23"/>
      <c r="G28" s="23"/>
    </row>
    <row r="29" spans="1:7" ht="15.75">
      <c r="A29" s="23"/>
      <c r="B29" s="23"/>
      <c r="C29" s="23"/>
      <c r="D29" s="23"/>
      <c r="E29" s="23"/>
      <c r="F29" s="23"/>
      <c r="G29" s="23"/>
    </row>
  </sheetData>
  <sheetProtection/>
  <mergeCells count="41">
    <mergeCell ref="A26:B26"/>
    <mergeCell ref="A28:G28"/>
    <mergeCell ref="A29:G29"/>
    <mergeCell ref="A16:B16"/>
    <mergeCell ref="A17:B17"/>
    <mergeCell ref="A18:B18"/>
    <mergeCell ref="A20:B20"/>
    <mergeCell ref="A22:B22"/>
    <mergeCell ref="A24:D24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6"/>
  <sheetViews>
    <sheetView zoomScale="85" zoomScaleNormal="85" zoomScalePageLayoutView="0" workbookViewId="0" topLeftCell="A1">
      <selection activeCell="C14" sqref="C14:D14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73</v>
      </c>
      <c r="B1" s="8"/>
      <c r="C1" s="8"/>
      <c r="D1" s="8"/>
      <c r="E1" s="8"/>
      <c r="F1" s="8"/>
      <c r="G1" s="8"/>
      <c r="H1" s="8"/>
    </row>
    <row r="2" spans="1:8" ht="15.75">
      <c r="A2" s="9" t="s">
        <v>120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30" customHeight="1">
      <c r="A10" s="12" t="s">
        <v>24</v>
      </c>
      <c r="B10" s="13"/>
      <c r="C10" s="39">
        <v>-79821.52</v>
      </c>
      <c r="D10" s="17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49229.11+10958.8+22774.62+2006.93+514.59+2006.93</f>
        <v>87490.97999999998</v>
      </c>
      <c r="D11" s="15"/>
      <c r="E11" s="14">
        <f>77686.22+22536.01+34513.96+308.77-251.1+30879.01</f>
        <v>165672.87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314186.53-72600.96-E12</f>
        <v>75912.70000000001</v>
      </c>
      <c r="D12" s="15"/>
      <c r="E12" s="14">
        <f>E11</f>
        <v>165672.87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47675.35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9949</v>
      </c>
      <c r="D14" s="15"/>
      <c r="E14" s="14">
        <f>E12</f>
        <v>165672.87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-2279.5400000000227</v>
      </c>
      <c r="D15" s="15"/>
      <c r="E15" s="15">
        <v>0</v>
      </c>
      <c r="F15" s="15"/>
      <c r="G15" s="15">
        <v>0</v>
      </c>
      <c r="H15" s="15"/>
    </row>
    <row r="16" spans="1:3" ht="13.5" customHeight="1">
      <c r="A16" s="24"/>
      <c r="B16" s="24"/>
      <c r="C16" s="5"/>
    </row>
  </sheetData>
  <sheetProtection/>
  <mergeCells count="33">
    <mergeCell ref="A16:B16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zoomScalePageLayoutView="0" workbookViewId="0" topLeftCell="A1">
      <selection activeCell="C12" sqref="C12:D12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74</v>
      </c>
      <c r="B1" s="8"/>
      <c r="C1" s="8"/>
      <c r="D1" s="8"/>
      <c r="E1" s="8"/>
      <c r="F1" s="8"/>
      <c r="G1" s="8"/>
      <c r="H1" s="8"/>
    </row>
    <row r="2" spans="1:8" ht="15.75">
      <c r="A2" s="9" t="s">
        <v>75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31.5" customHeight="1">
      <c r="A10" s="12" t="s">
        <v>24</v>
      </c>
      <c r="B10" s="13"/>
      <c r="C10" s="39">
        <v>-622985.64</v>
      </c>
      <c r="D10" s="17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110415.18+66870.3</f>
        <v>177285.47999999998</v>
      </c>
      <c r="D11" s="15"/>
      <c r="E11" s="14">
        <f>265851.81+204979.25+17651.3+15504.86</f>
        <v>503987.22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655984.17-E12</f>
        <v>151996.95000000007</v>
      </c>
      <c r="D12" s="15"/>
      <c r="E12" s="14">
        <f>E11</f>
        <v>503987.22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214451.24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146476</v>
      </c>
      <c r="D14" s="15"/>
      <c r="E14" s="14">
        <f>E12</f>
        <v>503987.22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-592176.16</v>
      </c>
      <c r="D15" s="15"/>
      <c r="E15" s="15">
        <v>0</v>
      </c>
      <c r="F15" s="15"/>
      <c r="G15" s="15">
        <v>0</v>
      </c>
      <c r="H15" s="15"/>
    </row>
    <row r="16" spans="1:3" ht="13.5" customHeight="1">
      <c r="A16" s="24"/>
      <c r="B16" s="24"/>
      <c r="C16" s="5"/>
    </row>
    <row r="17" spans="1:3" ht="12.75" customHeight="1">
      <c r="A17" s="24"/>
      <c r="B17" s="24"/>
      <c r="C17" s="5"/>
    </row>
    <row r="18" spans="1:3" ht="15.75">
      <c r="A18" s="23" t="s">
        <v>9</v>
      </c>
      <c r="B18" s="23"/>
      <c r="C18" s="6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  <row r="27" spans="1:7" ht="15.75">
      <c r="A27" s="23"/>
      <c r="B27" s="23"/>
      <c r="C27" s="23"/>
      <c r="D27" s="23"/>
      <c r="E27" s="23"/>
      <c r="F27" s="23"/>
      <c r="G27" s="23"/>
    </row>
    <row r="28" spans="1:7" ht="15.75">
      <c r="A28" s="23"/>
      <c r="B28" s="23"/>
      <c r="C28" s="23"/>
      <c r="D28" s="23"/>
      <c r="E28" s="23"/>
      <c r="F28" s="23"/>
      <c r="G28" s="23"/>
    </row>
  </sheetData>
  <sheetProtection/>
  <mergeCells count="40">
    <mergeCell ref="A27:G27"/>
    <mergeCell ref="A28:G28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25"/>
  <sheetViews>
    <sheetView zoomScale="70" zoomScaleNormal="70" zoomScalePageLayoutView="0" workbookViewId="0" topLeftCell="A1">
      <selection activeCell="A27" sqref="A27:IV28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76</v>
      </c>
      <c r="B1" s="8"/>
      <c r="C1" s="8"/>
      <c r="D1" s="8"/>
      <c r="E1" s="8"/>
      <c r="F1" s="8"/>
      <c r="G1" s="8"/>
      <c r="H1" s="8"/>
    </row>
    <row r="2" spans="1:8" ht="15.75">
      <c r="A2" s="9" t="s">
        <v>121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9.25" customHeight="1">
      <c r="A10" s="12" t="s">
        <v>61</v>
      </c>
      <c r="B10" s="13"/>
      <c r="C10" s="39">
        <v>-94254.58</v>
      </c>
      <c r="D10" s="17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v>16416</v>
      </c>
      <c r="D11" s="15"/>
      <c r="E11" s="14">
        <f>314315.13+74014.51+19445.16</f>
        <v>407774.8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v>16087.68</v>
      </c>
      <c r="D12" s="15"/>
      <c r="E12" s="14">
        <f>380563.05+19445.16</f>
        <v>400008.20999999996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0</v>
      </c>
      <c r="D13" s="15"/>
      <c r="E13" s="15">
        <f>94412.02+4406.25</f>
        <v>98818.27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47953</v>
      </c>
      <c r="D14" s="15"/>
      <c r="E14" s="14">
        <f>388329.64+19445.16</f>
        <v>407774.8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-125791.58</v>
      </c>
      <c r="D15" s="15"/>
      <c r="E15" s="15">
        <v>0</v>
      </c>
      <c r="F15" s="15"/>
      <c r="G15" s="15">
        <v>0</v>
      </c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5"/>
  <sheetViews>
    <sheetView zoomScale="115" zoomScaleNormal="115" zoomScalePageLayoutView="0" workbookViewId="0" topLeftCell="A1">
      <selection activeCell="C13" sqref="C13:D13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77</v>
      </c>
      <c r="B1" s="8"/>
      <c r="C1" s="8"/>
      <c r="D1" s="8"/>
      <c r="E1" s="8"/>
      <c r="F1" s="8"/>
      <c r="G1" s="8"/>
      <c r="H1" s="8"/>
    </row>
    <row r="2" spans="1:8" ht="15.75">
      <c r="A2" s="9" t="s">
        <v>122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9.25" customHeight="1">
      <c r="A10" s="12" t="s">
        <v>61</v>
      </c>
      <c r="B10" s="13"/>
      <c r="C10" s="39">
        <v>-480651.81</v>
      </c>
      <c r="D10" s="17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94170.71+44138.12</f>
        <v>138308.83000000002</v>
      </c>
      <c r="D11" s="15"/>
      <c r="E11" s="14">
        <f>222468.83+180516.78+21591.24+17269.48</f>
        <v>441846.32999999996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610607.06-E12</f>
        <v>168760.7300000001</v>
      </c>
      <c r="D12" s="15"/>
      <c r="E12" s="14">
        <f>E11</f>
        <v>441846.32999999996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77674.89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148135</v>
      </c>
      <c r="D14" s="15"/>
      <c r="E14" s="14">
        <f>E12</f>
        <v>441846.32999999996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-490477.98</v>
      </c>
      <c r="D15" s="15"/>
      <c r="E15" s="15">
        <v>0</v>
      </c>
      <c r="F15" s="15"/>
      <c r="G15" s="15">
        <v>0</v>
      </c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9"/>
  <sheetViews>
    <sheetView zoomScale="115" zoomScaleNormal="115" zoomScalePageLayoutView="0" workbookViewId="0" topLeftCell="A1">
      <selection activeCell="C13" sqref="C13:D13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78</v>
      </c>
      <c r="B1" s="8"/>
      <c r="C1" s="8"/>
      <c r="D1" s="8"/>
      <c r="E1" s="8"/>
      <c r="F1" s="8"/>
      <c r="G1" s="8"/>
      <c r="H1" s="8"/>
    </row>
    <row r="2" spans="1:8" ht="15.75">
      <c r="A2" s="9" t="s">
        <v>123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9.25" customHeight="1">
      <c r="A10" s="12" t="s">
        <v>24</v>
      </c>
      <c r="B10" s="13"/>
      <c r="C10" s="39">
        <v>896.42</v>
      </c>
      <c r="D10" s="17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38983.06+25628.4</f>
        <v>64611.46</v>
      </c>
      <c r="D11" s="15"/>
      <c r="E11" s="14">
        <f>64453.39+51826.2</f>
        <v>116279.59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161840.6-E12</f>
        <v>45561.01000000001</v>
      </c>
      <c r="D12" s="15"/>
      <c r="E12" s="14">
        <f>E11</f>
        <v>116279.59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46192.76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88183</v>
      </c>
      <c r="D14" s="15"/>
      <c r="E14" s="14">
        <f>E11</f>
        <v>116279.59</v>
      </c>
      <c r="F14" s="15"/>
      <c r="G14" s="15">
        <v>0</v>
      </c>
      <c r="H14" s="15"/>
    </row>
    <row r="15" spans="1:9" ht="92.25" customHeight="1">
      <c r="A15" s="18" t="s">
        <v>11</v>
      </c>
      <c r="B15" s="18"/>
      <c r="C15" s="14">
        <f>C10+C11-C14</f>
        <v>-22675.120000000003</v>
      </c>
      <c r="D15" s="15"/>
      <c r="E15" s="15">
        <v>0</v>
      </c>
      <c r="F15" s="15"/>
      <c r="G15" s="15">
        <v>0</v>
      </c>
      <c r="H15" s="15"/>
      <c r="I15" s="2" t="s">
        <v>56</v>
      </c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  <row r="28" spans="1:7" ht="15.75">
      <c r="A28" s="23"/>
      <c r="B28" s="23"/>
      <c r="C28" s="23"/>
      <c r="D28" s="23"/>
      <c r="E28" s="23"/>
      <c r="F28" s="23"/>
      <c r="G28" s="23"/>
    </row>
    <row r="29" spans="1:7" ht="15.75">
      <c r="A29" s="23"/>
      <c r="B29" s="23"/>
      <c r="C29" s="23"/>
      <c r="D29" s="23"/>
      <c r="E29" s="23"/>
      <c r="F29" s="23"/>
      <c r="G29" s="23"/>
    </row>
  </sheetData>
  <sheetProtection/>
  <mergeCells count="40">
    <mergeCell ref="A28:G28"/>
    <mergeCell ref="A29:G29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26"/>
  <sheetViews>
    <sheetView zoomScale="115" zoomScaleNormal="115" zoomScalePageLayoutView="0" workbookViewId="0" topLeftCell="A9">
      <selection activeCell="C12" sqref="C12:D12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79</v>
      </c>
      <c r="B1" s="8"/>
      <c r="C1" s="8"/>
      <c r="D1" s="8"/>
      <c r="E1" s="8"/>
      <c r="F1" s="8"/>
      <c r="G1" s="8"/>
      <c r="H1" s="8"/>
    </row>
    <row r="2" spans="1:8" ht="15.75">
      <c r="A2" s="9" t="s">
        <v>80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8.5" customHeight="1">
      <c r="A10" s="12" t="s">
        <v>24</v>
      </c>
      <c r="B10" s="13"/>
      <c r="C10" s="39">
        <v>-17648.34</v>
      </c>
      <c r="D10" s="17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72677.01+27855.3</f>
        <v>100532.31</v>
      </c>
      <c r="D11" s="15"/>
      <c r="E11" s="14">
        <f>120715.26+92555.95</f>
        <v>213271.21</v>
      </c>
      <c r="F11" s="15"/>
      <c r="G11" s="36"/>
      <c r="H11" s="36"/>
    </row>
    <row r="12" spans="1:8" ht="15.75">
      <c r="A12" s="18" t="s">
        <v>4</v>
      </c>
      <c r="B12" s="18"/>
      <c r="C12" s="14">
        <f>308407.9-E12</f>
        <v>95136.69000000003</v>
      </c>
      <c r="D12" s="15"/>
      <c r="E12" s="14">
        <f>E11</f>
        <v>213271.21</v>
      </c>
      <c r="F12" s="15"/>
      <c r="G12" s="15"/>
      <c r="H12" s="15"/>
    </row>
    <row r="13" spans="1:8" ht="47.25" customHeight="1">
      <c r="A13" s="18" t="s">
        <v>5</v>
      </c>
      <c r="B13" s="18"/>
      <c r="C13" s="14">
        <v>97395.71</v>
      </c>
      <c r="D13" s="15"/>
      <c r="E13" s="14">
        <f>E11-E12</f>
        <v>0</v>
      </c>
      <c r="F13" s="15"/>
      <c r="G13" s="15"/>
      <c r="H13" s="15"/>
    </row>
    <row r="14" spans="1:8" ht="33" customHeight="1">
      <c r="A14" s="18" t="s">
        <v>6</v>
      </c>
      <c r="B14" s="18"/>
      <c r="C14" s="14">
        <v>22247</v>
      </c>
      <c r="D14" s="15"/>
      <c r="E14" s="14">
        <f>E12</f>
        <v>213271.21</v>
      </c>
      <c r="F14" s="15"/>
      <c r="G14" s="15"/>
      <c r="H14" s="15"/>
    </row>
    <row r="15" spans="1:8" ht="92.25" customHeight="1">
      <c r="A15" s="18" t="s">
        <v>11</v>
      </c>
      <c r="B15" s="18"/>
      <c r="C15" s="14">
        <f>C10+C11-C14</f>
        <v>60636.97</v>
      </c>
      <c r="D15" s="15"/>
      <c r="E15" s="15">
        <v>0</v>
      </c>
      <c r="F15" s="15"/>
      <c r="G15" s="15"/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4"/>
      <c r="B21" s="4"/>
    </row>
    <row r="22" spans="1:2" ht="15.75">
      <c r="A22" s="23"/>
      <c r="B22" s="23"/>
    </row>
    <row r="23" spans="1:2" ht="15.75">
      <c r="A23" s="4"/>
      <c r="B23" s="4"/>
    </row>
    <row r="24" spans="1:4" ht="15.75">
      <c r="A24" s="23" t="s">
        <v>10</v>
      </c>
      <c r="B24" s="23"/>
      <c r="C24" s="23"/>
      <c r="D24" s="23"/>
    </row>
    <row r="25" spans="1:2" ht="15.75">
      <c r="A25" s="4"/>
      <c r="B25" s="4"/>
    </row>
    <row r="26" spans="1:2" ht="15.75">
      <c r="A26" s="23" t="s">
        <v>30</v>
      </c>
      <c r="B26" s="23"/>
    </row>
  </sheetData>
  <sheetProtection/>
  <mergeCells count="38">
    <mergeCell ref="A16:B16"/>
    <mergeCell ref="A17:B17"/>
    <mergeCell ref="A18:B18"/>
    <mergeCell ref="A22:B22"/>
    <mergeCell ref="A24:D24"/>
    <mergeCell ref="A26:B26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25"/>
  <sheetViews>
    <sheetView zoomScale="70" zoomScaleNormal="70" zoomScalePageLayoutView="0" workbookViewId="0" topLeftCell="A1">
      <selection activeCell="Q23" sqref="Q23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81</v>
      </c>
      <c r="B1" s="8"/>
      <c r="C1" s="8"/>
      <c r="D1" s="8"/>
      <c r="E1" s="8"/>
      <c r="F1" s="8"/>
      <c r="G1" s="8"/>
      <c r="H1" s="8"/>
    </row>
    <row r="2" spans="1:8" ht="15.75">
      <c r="A2" s="9" t="s">
        <v>82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30" customHeight="1">
      <c r="A10" s="12" t="s">
        <v>24</v>
      </c>
      <c r="B10" s="13"/>
      <c r="C10" s="39">
        <v>-162151.86</v>
      </c>
      <c r="D10" s="17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43173.13+27077.2</f>
        <v>70250.33</v>
      </c>
      <c r="D11" s="15"/>
      <c r="E11" s="14">
        <f>71393.63+54756.14</f>
        <v>126149.77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177800.05-E12</f>
        <v>51650.279999999984</v>
      </c>
      <c r="D12" s="15"/>
      <c r="E12" s="14">
        <f>E11</f>
        <v>126149.77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99890.27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14394</v>
      </c>
      <c r="D14" s="15"/>
      <c r="E14" s="14">
        <f>E11</f>
        <v>126149.77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-106295.52999999998</v>
      </c>
      <c r="D15" s="15"/>
      <c r="E15" s="15">
        <v>0</v>
      </c>
      <c r="F15" s="15"/>
      <c r="G15" s="15">
        <v>0</v>
      </c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85" zoomScalePageLayoutView="0" workbookViewId="0" topLeftCell="A16">
      <selection activeCell="C15" sqref="C15:D15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37</v>
      </c>
      <c r="B1" s="8"/>
      <c r="C1" s="8"/>
      <c r="D1" s="8"/>
      <c r="E1" s="8"/>
      <c r="F1" s="8"/>
      <c r="G1" s="8"/>
      <c r="H1" s="8"/>
    </row>
    <row r="2" spans="1:8" ht="15.75">
      <c r="A2" s="9" t="s">
        <v>93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9.25" customHeight="1">
      <c r="A10" s="12" t="s">
        <v>24</v>
      </c>
      <c r="B10" s="13"/>
      <c r="C10" s="14">
        <v>-347643.85</v>
      </c>
      <c r="D10" s="15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97447.57</f>
        <v>97447.57</v>
      </c>
      <c r="D11" s="15"/>
      <c r="E11" s="14">
        <f>107648.3-315.44-735.12+84849.01-281.59+16260-372.31-372.31</f>
        <v>206680.54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298007.69-E12</f>
        <v>91327.15</v>
      </c>
      <c r="D12" s="15"/>
      <c r="E12" s="14">
        <f>E11</f>
        <v>206680.54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f>32733</f>
        <v>32733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167005</v>
      </c>
      <c r="D14" s="15"/>
      <c r="E14" s="14">
        <f>E12</f>
        <v>206680.54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-417201.27999999997</v>
      </c>
      <c r="D15" s="15"/>
      <c r="E15" s="15">
        <v>0</v>
      </c>
      <c r="F15" s="15"/>
      <c r="G15" s="15">
        <v>0</v>
      </c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23"/>
      <c r="B20" s="23"/>
    </row>
    <row r="21" spans="1:2" ht="15.75">
      <c r="A21" s="4"/>
      <c r="B21" s="4"/>
    </row>
    <row r="22" spans="1:2" ht="15.75">
      <c r="A22" s="23"/>
      <c r="B22" s="23"/>
    </row>
    <row r="23" spans="1:2" ht="15.75">
      <c r="A23" s="4"/>
      <c r="B23" s="4"/>
    </row>
    <row r="24" spans="1:4" ht="15.75">
      <c r="A24" s="23" t="s">
        <v>10</v>
      </c>
      <c r="B24" s="23"/>
      <c r="C24" s="23"/>
      <c r="D24" s="23"/>
    </row>
    <row r="25" spans="1:2" ht="15.75">
      <c r="A25" s="4"/>
      <c r="B25" s="4"/>
    </row>
    <row r="26" spans="1:2" ht="15.75">
      <c r="A26" s="23" t="s">
        <v>33</v>
      </c>
      <c r="B26" s="23"/>
    </row>
  </sheetData>
  <sheetProtection/>
  <mergeCells count="39">
    <mergeCell ref="A26:B26"/>
    <mergeCell ref="A16:B16"/>
    <mergeCell ref="A17:B17"/>
    <mergeCell ref="A18:B18"/>
    <mergeCell ref="A20:B20"/>
    <mergeCell ref="A22:B22"/>
    <mergeCell ref="A24:D24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2" sqref="C12:D12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83</v>
      </c>
      <c r="B1" s="8"/>
      <c r="C1" s="8"/>
      <c r="D1" s="8"/>
      <c r="E1" s="8"/>
      <c r="F1" s="8"/>
      <c r="G1" s="8"/>
      <c r="H1" s="8"/>
    </row>
    <row r="2" spans="1:8" ht="15.75">
      <c r="A2" s="9" t="s">
        <v>84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7.75" customHeight="1">
      <c r="A10" s="12" t="s">
        <v>24</v>
      </c>
      <c r="B10" s="13"/>
      <c r="C10" s="39">
        <v>17764.56</v>
      </c>
      <c r="D10" s="17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16895.69+10754.64</f>
        <v>27650.329999999998</v>
      </c>
      <c r="D11" s="15"/>
      <c r="E11" s="14">
        <f>27939.73+21748.29</f>
        <v>49688.020000000004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82749.37-E12</f>
        <v>33061.34999999999</v>
      </c>
      <c r="D12" s="15"/>
      <c r="E12" s="14">
        <f>E11</f>
        <v>49688.020000000004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44904.92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9050</v>
      </c>
      <c r="D14" s="15"/>
      <c r="E14" s="14">
        <f>E11</f>
        <v>49688.020000000004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36364.89</v>
      </c>
      <c r="D15" s="15"/>
      <c r="E15" s="15">
        <v>0</v>
      </c>
      <c r="F15" s="15"/>
      <c r="G15" s="15">
        <v>0</v>
      </c>
      <c r="H15" s="15"/>
    </row>
    <row r="16" spans="1:3" ht="13.5" customHeight="1">
      <c r="A16" s="24"/>
      <c r="B16" s="24"/>
      <c r="C16" s="5"/>
    </row>
    <row r="17" spans="1:3" ht="12.75" customHeight="1">
      <c r="A17" s="24"/>
      <c r="B17" s="24"/>
      <c r="C17" s="5"/>
    </row>
    <row r="18" spans="1:3" ht="15.75">
      <c r="A18" s="23" t="s">
        <v>9</v>
      </c>
      <c r="B18" s="23"/>
      <c r="C18" s="6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32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23"/>
  <sheetViews>
    <sheetView zoomScale="70" zoomScaleNormal="70" zoomScaleSheetLayoutView="85" zoomScalePageLayoutView="0" workbookViewId="0" topLeftCell="A1">
      <selection activeCell="A27" sqref="A27:IV28"/>
    </sheetView>
  </sheetViews>
  <sheetFormatPr defaultColWidth="9.140625" defaultRowHeight="12.75"/>
  <cols>
    <col min="1" max="1" width="9.140625" style="2" customWidth="1"/>
    <col min="2" max="2" width="23.57421875" style="2" customWidth="1"/>
    <col min="3" max="16384" width="9.140625" style="2" customWidth="1"/>
  </cols>
  <sheetData>
    <row r="1" spans="1:8" ht="15.75">
      <c r="A1" s="8" t="s">
        <v>85</v>
      </c>
      <c r="B1" s="8"/>
      <c r="C1" s="8"/>
      <c r="D1" s="8"/>
      <c r="E1" s="8"/>
      <c r="F1" s="8"/>
      <c r="G1" s="8"/>
      <c r="H1" s="8"/>
    </row>
    <row r="2" spans="1:8" ht="15.75">
      <c r="A2" s="9" t="s">
        <v>86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103</v>
      </c>
    </row>
    <row r="5" spans="1:8" ht="51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33" customHeight="1">
      <c r="A10" s="12" t="s">
        <v>41</v>
      </c>
      <c r="B10" s="13"/>
      <c r="C10" s="29">
        <v>68561.59</v>
      </c>
      <c r="D10" s="30"/>
      <c r="E10" s="31">
        <v>0</v>
      </c>
      <c r="F10" s="32"/>
      <c r="G10" s="31">
        <v>0</v>
      </c>
      <c r="H10" s="32"/>
    </row>
    <row r="11" spans="1:8" ht="15.75">
      <c r="A11" s="18" t="s">
        <v>42</v>
      </c>
      <c r="B11" s="18"/>
      <c r="C11" s="29">
        <f>46442.96-1826.99+64496.89</f>
        <v>109112.86</v>
      </c>
      <c r="D11" s="30"/>
      <c r="E11" s="29">
        <f>162066.59-458.98-1017.13+122010.95+27073.8-521.28-513.99</f>
        <v>308639.95999999996</v>
      </c>
      <c r="F11" s="30"/>
      <c r="G11" s="30">
        <v>0</v>
      </c>
      <c r="H11" s="30"/>
    </row>
    <row r="12" spans="1:8" ht="15.75">
      <c r="A12" s="18" t="s">
        <v>4</v>
      </c>
      <c r="B12" s="18"/>
      <c r="C12" s="29">
        <f>388462.18-E12</f>
        <v>79822.22000000003</v>
      </c>
      <c r="D12" s="30"/>
      <c r="E12" s="29">
        <f>E11</f>
        <v>308639.95999999996</v>
      </c>
      <c r="F12" s="30"/>
      <c r="G12" s="30">
        <v>0</v>
      </c>
      <c r="H12" s="30"/>
    </row>
    <row r="13" spans="1:8" ht="47.25" customHeight="1">
      <c r="A13" s="18" t="s">
        <v>43</v>
      </c>
      <c r="B13" s="18"/>
      <c r="C13" s="29">
        <v>141955.74</v>
      </c>
      <c r="D13" s="30"/>
      <c r="E13" s="30">
        <v>0</v>
      </c>
      <c r="F13" s="30"/>
      <c r="G13" s="30">
        <v>0</v>
      </c>
      <c r="H13" s="30"/>
    </row>
    <row r="14" spans="1:8" ht="40.5" customHeight="1">
      <c r="A14" s="18" t="s">
        <v>44</v>
      </c>
      <c r="B14" s="18"/>
      <c r="C14" s="29">
        <v>37552</v>
      </c>
      <c r="D14" s="30"/>
      <c r="E14" s="29">
        <f>E11</f>
        <v>308639.95999999996</v>
      </c>
      <c r="F14" s="30"/>
      <c r="G14" s="30">
        <v>0</v>
      </c>
      <c r="H14" s="30"/>
    </row>
    <row r="15" spans="1:8" ht="70.5" customHeight="1">
      <c r="A15" s="18" t="s">
        <v>104</v>
      </c>
      <c r="B15" s="18"/>
      <c r="C15" s="29">
        <f>C10+C11-C14</f>
        <v>140122.45</v>
      </c>
      <c r="D15" s="30"/>
      <c r="E15" s="30">
        <v>0</v>
      </c>
      <c r="F15" s="30"/>
      <c r="G15" s="30">
        <v>0</v>
      </c>
      <c r="H15" s="30"/>
    </row>
    <row r="16" spans="1:8" ht="68.25" customHeight="1">
      <c r="A16" s="18" t="s">
        <v>105</v>
      </c>
      <c r="B16" s="18"/>
      <c r="C16" s="40">
        <f>C15-C13</f>
        <v>-1833.289999999979</v>
      </c>
      <c r="D16" s="41"/>
      <c r="E16" s="42">
        <v>0</v>
      </c>
      <c r="F16" s="41"/>
      <c r="G16" s="42">
        <v>0</v>
      </c>
      <c r="H16" s="41"/>
    </row>
    <row r="17" spans="1:2" ht="13.5" customHeight="1">
      <c r="A17" s="24"/>
      <c r="B17" s="24"/>
    </row>
    <row r="18" spans="1:2" ht="12.75" customHeight="1">
      <c r="A18" s="24"/>
      <c r="B18" s="24"/>
    </row>
    <row r="19" spans="1:2" ht="15.75">
      <c r="A19" s="23" t="s">
        <v>9</v>
      </c>
      <c r="B19" s="23"/>
    </row>
    <row r="20" spans="1:2" ht="15.75">
      <c r="A20" s="4"/>
      <c r="B20" s="4"/>
    </row>
    <row r="21" spans="1:4" ht="15.75">
      <c r="A21" s="23" t="s">
        <v>10</v>
      </c>
      <c r="B21" s="23"/>
      <c r="C21" s="23"/>
      <c r="D21" s="23"/>
    </row>
    <row r="22" spans="1:2" ht="15.75">
      <c r="A22" s="4"/>
      <c r="B22" s="4"/>
    </row>
    <row r="23" spans="1:2" ht="15.75">
      <c r="A23" s="23" t="s">
        <v>30</v>
      </c>
      <c r="B23" s="23"/>
    </row>
  </sheetData>
  <sheetProtection/>
  <mergeCells count="41">
    <mergeCell ref="G16:H16"/>
    <mergeCell ref="A17:B17"/>
    <mergeCell ref="A18:B18"/>
    <mergeCell ref="A19:B19"/>
    <mergeCell ref="A21:D21"/>
    <mergeCell ref="A23:B23"/>
    <mergeCell ref="A14:B14"/>
    <mergeCell ref="C14:D14"/>
    <mergeCell ref="E14:F14"/>
    <mergeCell ref="A16:B16"/>
    <mergeCell ref="C16:D16"/>
    <mergeCell ref="E16:F16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2" sqref="C12:D12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17</v>
      </c>
      <c r="B1" s="8"/>
      <c r="C1" s="8"/>
      <c r="D1" s="8"/>
      <c r="E1" s="8"/>
      <c r="F1" s="8"/>
      <c r="G1" s="8"/>
      <c r="H1" s="8"/>
    </row>
    <row r="2" spans="1:8" ht="15.75">
      <c r="A2" s="9" t="s">
        <v>124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7.75" customHeight="1">
      <c r="A10" s="12" t="s">
        <v>24</v>
      </c>
      <c r="B10" s="13"/>
      <c r="C10" s="14">
        <v>-391706.36</v>
      </c>
      <c r="D10" s="15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140405.74+86103.31</f>
        <v>226509.05</v>
      </c>
      <c r="D11" s="15"/>
      <c r="E11" s="14">
        <f>232182.81+178811.36+45951.31+34036.24</f>
        <v>490981.72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693257.89-E12</f>
        <v>202276.17000000004</v>
      </c>
      <c r="D12" s="15"/>
      <c r="E12" s="14">
        <f>E11</f>
        <v>490981.72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157442.42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693636.4</v>
      </c>
      <c r="D14" s="15"/>
      <c r="E14" s="14">
        <f>E11</f>
        <v>490981.72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-858833.71</v>
      </c>
      <c r="D15" s="15"/>
      <c r="E15" s="15">
        <v>0</v>
      </c>
      <c r="F15" s="15"/>
      <c r="G15" s="15">
        <v>0</v>
      </c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2" sqref="C12:D12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18</v>
      </c>
      <c r="B1" s="8"/>
      <c r="C1" s="8"/>
      <c r="D1" s="8"/>
      <c r="E1" s="8"/>
      <c r="F1" s="8"/>
      <c r="G1" s="8"/>
      <c r="H1" s="8"/>
    </row>
    <row r="2" spans="1:8" ht="15.75">
      <c r="A2" s="9" t="s">
        <v>125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9.25" customHeight="1">
      <c r="A10" s="12" t="s">
        <v>24</v>
      </c>
      <c r="B10" s="13"/>
      <c r="C10" s="14">
        <v>115030.64</v>
      </c>
      <c r="D10" s="15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89167.62+55522.04</f>
        <v>144689.66</v>
      </c>
      <c r="D11" s="15"/>
      <c r="E11" s="14">
        <f>147452.91+113687.48</f>
        <v>261140.39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365745.53-E12</f>
        <v>104605.14000000001</v>
      </c>
      <c r="D12" s="15"/>
      <c r="E12" s="14">
        <f>E11</f>
        <v>261140.39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f>132593.81</f>
        <v>132593.81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841124</v>
      </c>
      <c r="D14" s="15"/>
      <c r="E14" s="14">
        <f>E11</f>
        <v>261140.39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-581403.7</v>
      </c>
      <c r="D15" s="15"/>
      <c r="E15" s="15">
        <v>0</v>
      </c>
      <c r="F15" s="15"/>
      <c r="G15" s="15">
        <v>0</v>
      </c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5" sqref="C15:D15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19</v>
      </c>
      <c r="B1" s="8"/>
      <c r="C1" s="8"/>
      <c r="D1" s="8"/>
      <c r="E1" s="8"/>
      <c r="F1" s="8"/>
      <c r="G1" s="8"/>
      <c r="H1" s="8"/>
    </row>
    <row r="2" spans="1:8" ht="15.75">
      <c r="A2" s="9" t="s">
        <v>126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30" customHeight="1">
      <c r="A10" s="12" t="s">
        <v>24</v>
      </c>
      <c r="B10" s="13"/>
      <c r="C10" s="14">
        <v>-60389.89</v>
      </c>
      <c r="D10" s="15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157459.91+99172.56</f>
        <v>256632.47</v>
      </c>
      <c r="D11" s="15"/>
      <c r="E11" s="14">
        <f>260479.13+205952.22+46590.41+32550.14</f>
        <v>545571.9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796117.75-E12</f>
        <v>250545.84999999998</v>
      </c>
      <c r="D12" s="15"/>
      <c r="E12" s="14">
        <f>E11</f>
        <v>545571.9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140483.93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381298.4</v>
      </c>
      <c r="D14" s="15"/>
      <c r="E14" s="14">
        <f>E11</f>
        <v>545571.9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-185055.82</v>
      </c>
      <c r="D15" s="15"/>
      <c r="E15" s="15">
        <v>0</v>
      </c>
      <c r="F15" s="15"/>
      <c r="G15" s="15">
        <v>0</v>
      </c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5" sqref="C15:D15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20</v>
      </c>
      <c r="B1" s="8"/>
      <c r="C1" s="8"/>
      <c r="D1" s="8"/>
      <c r="E1" s="8"/>
      <c r="F1" s="8"/>
      <c r="G1" s="8"/>
      <c r="H1" s="8"/>
    </row>
    <row r="2" spans="1:8" ht="15.75">
      <c r="A2" s="9" t="s">
        <v>127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30.75" customHeight="1">
      <c r="A10" s="12" t="s">
        <v>24</v>
      </c>
      <c r="B10" s="13"/>
      <c r="C10" s="14">
        <v>182825.57</v>
      </c>
      <c r="D10" s="15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122626.9+75197.64</f>
        <v>197824.53999999998</v>
      </c>
      <c r="D11" s="15"/>
      <c r="E11" s="14">
        <f>202783.15+156164.05+32959.14+22569.96</f>
        <v>414476.3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593154.94-E12</f>
        <v>178678.63999999996</v>
      </c>
      <c r="D12" s="15"/>
      <c r="E12" s="14">
        <f>E11</f>
        <v>414476.3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118109.84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40958</v>
      </c>
      <c r="D14" s="15"/>
      <c r="E14" s="14">
        <f>E11</f>
        <v>414476.3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339692.11</v>
      </c>
      <c r="D15" s="15"/>
      <c r="E15" s="15">
        <v>0</v>
      </c>
      <c r="F15" s="15"/>
      <c r="G15" s="15">
        <v>0</v>
      </c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27" sqref="B27:H33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21</v>
      </c>
      <c r="B1" s="8"/>
      <c r="C1" s="8"/>
      <c r="D1" s="8"/>
      <c r="E1" s="8"/>
      <c r="F1" s="8"/>
      <c r="G1" s="8"/>
      <c r="H1" s="8"/>
    </row>
    <row r="2" spans="1:8" ht="15.75">
      <c r="A2" s="9" t="s">
        <v>87</v>
      </c>
      <c r="B2" s="9"/>
      <c r="C2" s="9"/>
      <c r="D2" s="9"/>
      <c r="E2" s="9"/>
      <c r="F2" s="9"/>
      <c r="G2" s="9"/>
      <c r="H2" s="9"/>
    </row>
    <row r="3" spans="3:5" ht="15.75">
      <c r="C3" s="8" t="s">
        <v>98</v>
      </c>
      <c r="D3" s="8"/>
      <c r="E3" s="8"/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8.5" customHeight="1">
      <c r="A10" s="12" t="s">
        <v>24</v>
      </c>
      <c r="B10" s="13"/>
      <c r="C10" s="14">
        <v>3030.87</v>
      </c>
      <c r="D10" s="15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61062.12+36913.95</f>
        <v>97976.07</v>
      </c>
      <c r="D11" s="15"/>
      <c r="E11" s="14">
        <f>101422.99+78082.9</f>
        <v>179505.89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273387.41-E12</f>
        <v>93881.51999999996</v>
      </c>
      <c r="D12" s="15"/>
      <c r="E12" s="14">
        <f>E11</f>
        <v>179505.89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46464.87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103036</v>
      </c>
      <c r="D14" s="15"/>
      <c r="E14" s="14">
        <f>E11</f>
        <v>179505.89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-2029.0599999999977</v>
      </c>
      <c r="D15" s="15"/>
      <c r="E15" s="15">
        <v>0</v>
      </c>
      <c r="F15" s="15"/>
      <c r="G15" s="15">
        <v>0</v>
      </c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  <row r="28" spans="2:8" ht="15.75">
      <c r="B28" s="23"/>
      <c r="C28" s="23"/>
      <c r="D28" s="23"/>
      <c r="E28" s="23"/>
      <c r="F28" s="23"/>
      <c r="G28" s="9"/>
      <c r="H28" s="9"/>
    </row>
    <row r="31" spans="3:5" ht="15.75">
      <c r="C31" s="9"/>
      <c r="D31" s="9"/>
      <c r="E31" s="9"/>
    </row>
  </sheetData>
  <sheetProtection/>
  <mergeCells count="42">
    <mergeCell ref="B28:F28"/>
    <mergeCell ref="G28:H28"/>
    <mergeCell ref="C31:E31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C3:E3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32" sqref="A32:E32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88</v>
      </c>
      <c r="B1" s="8"/>
      <c r="C1" s="8"/>
      <c r="D1" s="8"/>
      <c r="E1" s="8"/>
      <c r="F1" s="8"/>
      <c r="G1" s="8"/>
      <c r="H1" s="8"/>
    </row>
    <row r="2" spans="1:8" ht="15.75">
      <c r="A2" s="9" t="s">
        <v>128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30" customHeight="1">
      <c r="A10" s="12" t="s">
        <v>24</v>
      </c>
      <c r="B10" s="13"/>
      <c r="C10" s="14">
        <v>-6069.28</v>
      </c>
      <c r="D10" s="15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100227.75+114386.04</f>
        <v>214613.78999999998</v>
      </c>
      <c r="D11" s="15"/>
      <c r="E11" s="14">
        <f>255467.74+191359.09</f>
        <v>446826.82999999996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630438.54-E12</f>
        <v>183611.71000000008</v>
      </c>
      <c r="D12" s="15"/>
      <c r="E12" s="14">
        <f>E11</f>
        <v>446826.82999999996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193958.55</v>
      </c>
      <c r="D13" s="15"/>
      <c r="E13" s="14" t="s">
        <v>59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182008</v>
      </c>
      <c r="D14" s="15"/>
      <c r="E14" s="14">
        <f>E11</f>
        <v>446826.82999999996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26536.50999999998</v>
      </c>
      <c r="D15" s="15"/>
      <c r="E15" s="15">
        <v>0</v>
      </c>
      <c r="F15" s="15"/>
      <c r="G15" s="15">
        <v>0</v>
      </c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89</v>
      </c>
      <c r="B25" s="23"/>
    </row>
    <row r="32" spans="1:3" ht="15.75">
      <c r="A32" s="9"/>
      <c r="B32" s="9"/>
      <c r="C32" s="9"/>
    </row>
  </sheetData>
  <sheetProtection/>
  <mergeCells count="39">
    <mergeCell ref="A32:C32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32" sqref="A32:IV32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90</v>
      </c>
      <c r="B1" s="8"/>
      <c r="C1" s="8"/>
      <c r="D1" s="8"/>
      <c r="E1" s="8"/>
      <c r="F1" s="8"/>
      <c r="G1" s="8"/>
      <c r="H1" s="8"/>
    </row>
    <row r="2" spans="1:8" ht="15.75">
      <c r="A2" s="9" t="s">
        <v>129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30" customHeight="1">
      <c r="A10" s="12" t="s">
        <v>24</v>
      </c>
      <c r="B10" s="13"/>
      <c r="C10" s="14">
        <v>-20989.7</v>
      </c>
      <c r="D10" s="15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v>0</v>
      </c>
      <c r="D11" s="15"/>
      <c r="E11" s="14">
        <f>453025.19+376469.99+168503.43</f>
        <v>997998.6099999999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v>0</v>
      </c>
      <c r="D12" s="15"/>
      <c r="E12" s="14">
        <f>1276978.53-412933.55</f>
        <v>864044.98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 t="s">
        <v>59</v>
      </c>
      <c r="D13" s="15"/>
      <c r="E13" s="14">
        <v>442008.4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37159</v>
      </c>
      <c r="D14" s="15"/>
      <c r="E14" s="14">
        <v>997998.61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-58148.7</v>
      </c>
      <c r="D15" s="15"/>
      <c r="E15" s="15">
        <v>0</v>
      </c>
      <c r="F15" s="15"/>
      <c r="G15" s="15">
        <v>0</v>
      </c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89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85" zoomScalePageLayoutView="0" workbookViewId="0" topLeftCell="A1">
      <selection activeCell="C15" sqref="C15:D15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91</v>
      </c>
      <c r="B1" s="8"/>
      <c r="C1" s="8"/>
      <c r="D1" s="8"/>
      <c r="E1" s="8"/>
      <c r="F1" s="8"/>
      <c r="G1" s="8"/>
      <c r="H1" s="8"/>
    </row>
    <row r="2" spans="1:8" ht="15.75">
      <c r="A2" s="9" t="s">
        <v>130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30" customHeight="1">
      <c r="A10" s="12" t="s">
        <v>24</v>
      </c>
      <c r="B10" s="13"/>
      <c r="C10" s="14">
        <v>21013.17</v>
      </c>
      <c r="D10" s="15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v>0</v>
      </c>
      <c r="D11" s="15"/>
      <c r="E11" s="14">
        <f>283851.38+237484.01+106138.5</f>
        <v>627473.89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v>0</v>
      </c>
      <c r="D12" s="15"/>
      <c r="E12" s="14">
        <f>823146.05-251705.19</f>
        <v>571440.8600000001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0</v>
      </c>
      <c r="D13" s="15"/>
      <c r="E13" s="14">
        <v>271069.05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12111.7</v>
      </c>
      <c r="D14" s="15"/>
      <c r="E14" s="14">
        <v>627473.89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8901.469999999998</v>
      </c>
      <c r="D15" s="15"/>
      <c r="E15" s="15">
        <v>0</v>
      </c>
      <c r="F15" s="15"/>
      <c r="G15" s="15">
        <v>0</v>
      </c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89</v>
      </c>
      <c r="B25" s="23"/>
    </row>
    <row r="32" spans="1:3" ht="15.75">
      <c r="A32" s="9"/>
      <c r="B32" s="9"/>
      <c r="C32" s="9"/>
    </row>
  </sheetData>
  <sheetProtection/>
  <mergeCells count="39">
    <mergeCell ref="A32:C32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85" zoomScalePageLayoutView="0" workbookViewId="0" topLeftCell="A16">
      <selection activeCell="C13" sqref="C13:D13"/>
    </sheetView>
  </sheetViews>
  <sheetFormatPr defaultColWidth="9.140625" defaultRowHeight="12.75"/>
  <cols>
    <col min="1" max="1" width="9.140625" style="2" customWidth="1"/>
    <col min="2" max="2" width="16.140625" style="2" customWidth="1"/>
    <col min="3" max="16384" width="9.140625" style="2" customWidth="1"/>
  </cols>
  <sheetData>
    <row r="1" spans="1:8" ht="15.75">
      <c r="A1" s="8" t="s">
        <v>29</v>
      </c>
      <c r="B1" s="8"/>
      <c r="C1" s="8"/>
      <c r="D1" s="8"/>
      <c r="E1" s="8"/>
      <c r="F1" s="8"/>
      <c r="G1" s="8"/>
      <c r="H1" s="8"/>
    </row>
    <row r="2" spans="1:8" ht="15.75">
      <c r="A2" s="9" t="s">
        <v>38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15.75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15.75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9.25" customHeight="1">
      <c r="A10" s="12" t="s">
        <v>24</v>
      </c>
      <c r="B10" s="13"/>
      <c r="C10" s="14">
        <v>108254.44</v>
      </c>
      <c r="D10" s="15"/>
      <c r="E10" s="16"/>
      <c r="F10" s="17"/>
      <c r="G10" s="16">
        <v>0</v>
      </c>
      <c r="H10" s="17"/>
    </row>
    <row r="11" spans="1:8" ht="15.75">
      <c r="A11" s="18" t="s">
        <v>3</v>
      </c>
      <c r="B11" s="18"/>
      <c r="C11" s="14">
        <f>47719.56+35332.9</f>
        <v>83052.45999999999</v>
      </c>
      <c r="D11" s="15"/>
      <c r="E11" s="14">
        <f>78911.84+66591.22+23202.96</f>
        <v>168706.02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250644.19-E12</f>
        <v>81938.17000000001</v>
      </c>
      <c r="D12" s="15"/>
      <c r="E12" s="14">
        <f>E11</f>
        <v>168706.02</v>
      </c>
      <c r="F12" s="15"/>
      <c r="G12" s="15">
        <v>0</v>
      </c>
      <c r="H12" s="15"/>
    </row>
    <row r="13" spans="1:8" ht="48" customHeight="1">
      <c r="A13" s="18" t="s">
        <v>5</v>
      </c>
      <c r="B13" s="18"/>
      <c r="C13" s="14">
        <v>50405.54</v>
      </c>
      <c r="D13" s="15"/>
      <c r="E13" s="15">
        <v>0</v>
      </c>
      <c r="F13" s="15"/>
      <c r="G13" s="15">
        <v>0</v>
      </c>
      <c r="H13" s="15"/>
    </row>
    <row r="14" spans="1:8" ht="33.75" customHeight="1">
      <c r="A14" s="18" t="s">
        <v>6</v>
      </c>
      <c r="B14" s="18"/>
      <c r="C14" s="14">
        <v>172688</v>
      </c>
      <c r="D14" s="15"/>
      <c r="E14" s="14">
        <f>E12</f>
        <v>168706.02</v>
      </c>
      <c r="F14" s="15"/>
      <c r="G14" s="15">
        <v>0</v>
      </c>
      <c r="H14" s="15"/>
    </row>
    <row r="15" spans="1:8" ht="93" customHeight="1">
      <c r="A15" s="18" t="s">
        <v>11</v>
      </c>
      <c r="B15" s="18"/>
      <c r="C15" s="14">
        <f>C10+C11-C14</f>
        <v>18618.899999999994</v>
      </c>
      <c r="D15" s="15"/>
      <c r="E15" s="15">
        <v>0</v>
      </c>
      <c r="F15" s="15"/>
      <c r="G15" s="15">
        <v>0</v>
      </c>
      <c r="H15" s="15"/>
    </row>
    <row r="16" spans="1:2" ht="15.75">
      <c r="A16" s="24"/>
      <c r="B16" s="24"/>
    </row>
    <row r="17" spans="1:2" ht="15.75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85" zoomScalePageLayoutView="0" workbookViewId="0" topLeftCell="A13">
      <selection activeCell="C15" sqref="C15:D15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12</v>
      </c>
      <c r="B1" s="8"/>
      <c r="C1" s="8"/>
      <c r="D1" s="8"/>
      <c r="E1" s="8"/>
      <c r="F1" s="8"/>
      <c r="G1" s="8"/>
      <c r="H1" s="8"/>
    </row>
    <row r="2" spans="1:8" ht="15.75">
      <c r="A2" s="9" t="s">
        <v>39</v>
      </c>
      <c r="B2" s="9"/>
      <c r="C2" s="9"/>
      <c r="D2" s="9"/>
      <c r="E2" s="9"/>
      <c r="F2" s="9"/>
      <c r="G2" s="9"/>
      <c r="H2" s="9"/>
    </row>
    <row r="3" spans="1:8" ht="15.75">
      <c r="A3" s="8" t="s">
        <v>106</v>
      </c>
      <c r="B3" s="8"/>
      <c r="C3" s="8"/>
      <c r="D3" s="8"/>
      <c r="E3" s="8"/>
      <c r="F3" s="8"/>
      <c r="G3" s="8"/>
      <c r="H3" s="8"/>
    </row>
    <row r="5" spans="1:8" ht="33.75" customHeight="1">
      <c r="A5" s="10" t="s">
        <v>40</v>
      </c>
      <c r="B5" s="10"/>
      <c r="C5" s="10"/>
      <c r="D5" s="10"/>
      <c r="E5" s="10"/>
      <c r="F5" s="10"/>
      <c r="G5" s="10"/>
      <c r="H5" s="10"/>
    </row>
    <row r="7" spans="1:8" ht="15.75">
      <c r="A7" s="11"/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9.25" customHeight="1">
      <c r="A10" s="12" t="s">
        <v>41</v>
      </c>
      <c r="B10" s="13"/>
      <c r="C10" s="29">
        <v>88318.8</v>
      </c>
      <c r="D10" s="30"/>
      <c r="E10" s="31">
        <v>0</v>
      </c>
      <c r="F10" s="32"/>
      <c r="G10" s="31">
        <v>0</v>
      </c>
      <c r="H10" s="32"/>
    </row>
    <row r="11" spans="1:8" ht="15.75">
      <c r="A11" s="18" t="s">
        <v>42</v>
      </c>
      <c r="B11" s="18"/>
      <c r="C11" s="33">
        <f>102288.13+64368</f>
        <v>166656.13</v>
      </c>
      <c r="D11" s="34"/>
      <c r="E11" s="33">
        <f>169149.6+131801.04+8400+2400.48+60599.99+1200+2400.48</f>
        <v>375951.58999999997</v>
      </c>
      <c r="F11" s="34"/>
      <c r="G11" s="30">
        <v>0</v>
      </c>
      <c r="H11" s="30"/>
    </row>
    <row r="12" spans="1:8" ht="15.75">
      <c r="A12" s="18" t="s">
        <v>4</v>
      </c>
      <c r="B12" s="18"/>
      <c r="C12" s="29">
        <f>521109.15-E12</f>
        <v>145157.56000000006</v>
      </c>
      <c r="D12" s="30"/>
      <c r="E12" s="29">
        <f>E11</f>
        <v>375951.58999999997</v>
      </c>
      <c r="F12" s="30"/>
      <c r="G12" s="30">
        <v>0</v>
      </c>
      <c r="H12" s="30"/>
    </row>
    <row r="13" spans="1:8" ht="47.25" customHeight="1">
      <c r="A13" s="18" t="s">
        <v>43</v>
      </c>
      <c r="B13" s="18"/>
      <c r="C13" s="35">
        <v>150281.54</v>
      </c>
      <c r="D13" s="32"/>
      <c r="E13" s="30">
        <v>0</v>
      </c>
      <c r="F13" s="30"/>
      <c r="G13" s="30">
        <v>0</v>
      </c>
      <c r="H13" s="30"/>
    </row>
    <row r="14" spans="1:8" ht="33" customHeight="1">
      <c r="A14" s="18" t="s">
        <v>44</v>
      </c>
      <c r="B14" s="18"/>
      <c r="C14" s="29">
        <v>172904</v>
      </c>
      <c r="D14" s="30"/>
      <c r="E14" s="29">
        <f>E12</f>
        <v>375951.58999999997</v>
      </c>
      <c r="F14" s="30"/>
      <c r="G14" s="30">
        <v>0</v>
      </c>
      <c r="H14" s="30"/>
    </row>
    <row r="15" spans="1:8" ht="92.25" customHeight="1">
      <c r="A15" s="18" t="s">
        <v>11</v>
      </c>
      <c r="B15" s="18"/>
      <c r="C15" s="29">
        <f>C10+C11-C14</f>
        <v>82070.93</v>
      </c>
      <c r="D15" s="30"/>
      <c r="E15" s="30">
        <v>0</v>
      </c>
      <c r="F15" s="30"/>
      <c r="G15" s="30">
        <v>0</v>
      </c>
      <c r="H15" s="30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4"/>
      <c r="B21" s="4"/>
    </row>
    <row r="22" spans="1:4" ht="15.75">
      <c r="A22" s="23" t="s">
        <v>10</v>
      </c>
      <c r="B22" s="23"/>
      <c r="C22" s="23"/>
      <c r="D22" s="23"/>
    </row>
    <row r="23" spans="1:2" ht="15.75">
      <c r="A23" s="4"/>
      <c r="B23" s="4"/>
    </row>
    <row r="24" spans="1:2" ht="15.75">
      <c r="A24" s="23" t="s">
        <v>30</v>
      </c>
      <c r="B24" s="23"/>
    </row>
  </sheetData>
  <sheetProtection/>
  <mergeCells count="38">
    <mergeCell ref="A16:B16"/>
    <mergeCell ref="A17:B17"/>
    <mergeCell ref="A18:B18"/>
    <mergeCell ref="A22:D22"/>
    <mergeCell ref="A24:B24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3:H3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9">
      <selection activeCell="C12" sqref="C12:D12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13</v>
      </c>
      <c r="B1" s="8"/>
      <c r="C1" s="8"/>
      <c r="D1" s="8"/>
      <c r="E1" s="8"/>
      <c r="F1" s="8"/>
      <c r="G1" s="8"/>
      <c r="H1" s="8"/>
    </row>
    <row r="2" spans="1:8" ht="15.75">
      <c r="A2" s="9" t="s">
        <v>45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9.25" customHeight="1">
      <c r="A10" s="12" t="s">
        <v>24</v>
      </c>
      <c r="B10" s="13"/>
      <c r="C10" s="14">
        <v>28348.74</v>
      </c>
      <c r="D10" s="15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21935.41+16241.55</f>
        <v>38176.96</v>
      </c>
      <c r="D11" s="15"/>
      <c r="E11" s="14">
        <f>36273.65+27820.45</f>
        <v>64094.100000000006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97827.19-E12</f>
        <v>33733.09</v>
      </c>
      <c r="D12" s="15"/>
      <c r="E12" s="14">
        <f>E11</f>
        <v>64094.100000000006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21757.71</v>
      </c>
      <c r="D13" s="15"/>
      <c r="E13" s="14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176904</v>
      </c>
      <c r="D14" s="15"/>
      <c r="E14" s="14">
        <f>E12</f>
        <v>64094.100000000006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-110378.3</v>
      </c>
      <c r="D15" s="15"/>
      <c r="E15" s="15">
        <v>0</v>
      </c>
      <c r="F15" s="15"/>
      <c r="G15" s="15">
        <v>0</v>
      </c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3">
      <selection activeCell="A3" sqref="A3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14</v>
      </c>
      <c r="B1" s="8"/>
      <c r="C1" s="8"/>
      <c r="D1" s="8"/>
      <c r="E1" s="8"/>
      <c r="F1" s="8"/>
      <c r="G1" s="8"/>
      <c r="H1" s="8"/>
    </row>
    <row r="2" spans="1:8" ht="15.75">
      <c r="A2" s="9" t="s">
        <v>107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8.5" customHeight="1">
      <c r="A10" s="12" t="s">
        <v>24</v>
      </c>
      <c r="B10" s="13"/>
      <c r="C10" s="14">
        <v>-137968.18</v>
      </c>
      <c r="D10" s="15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v>0</v>
      </c>
      <c r="D11" s="15"/>
      <c r="E11" s="14">
        <v>126741.87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v>0</v>
      </c>
      <c r="D12" s="15"/>
      <c r="E12" s="14">
        <v>125297.36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0</v>
      </c>
      <c r="D13" s="15"/>
      <c r="E13" s="15">
        <v>29402.66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0</v>
      </c>
      <c r="D14" s="15"/>
      <c r="E14" s="14">
        <v>126741.87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-137968.18</v>
      </c>
      <c r="D15" s="15"/>
      <c r="E15" s="15">
        <v>0</v>
      </c>
      <c r="F15" s="15"/>
      <c r="G15" s="15">
        <v>0</v>
      </c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32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6">
      <selection activeCell="C15" sqref="C15:D15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16384" width="9.140625" style="2" customWidth="1"/>
  </cols>
  <sheetData>
    <row r="1" spans="1:8" ht="15.75">
      <c r="A1" s="8" t="s">
        <v>15</v>
      </c>
      <c r="B1" s="8"/>
      <c r="C1" s="8"/>
      <c r="D1" s="8"/>
      <c r="E1" s="8"/>
      <c r="F1" s="8"/>
      <c r="G1" s="8"/>
      <c r="H1" s="8"/>
    </row>
    <row r="2" spans="1:8" ht="15.75">
      <c r="A2" s="9" t="s">
        <v>108</v>
      </c>
      <c r="B2" s="9"/>
      <c r="C2" s="9"/>
      <c r="D2" s="9"/>
      <c r="E2" s="9"/>
      <c r="F2" s="9"/>
      <c r="G2" s="9"/>
      <c r="H2" s="9"/>
    </row>
    <row r="3" spans="3:4" ht="15.75">
      <c r="C3" s="3"/>
      <c r="D3" s="1" t="s">
        <v>98</v>
      </c>
    </row>
    <row r="5" spans="1:8" ht="33.75" customHeight="1">
      <c r="A5" s="10" t="s">
        <v>7</v>
      </c>
      <c r="B5" s="10"/>
      <c r="C5" s="10"/>
      <c r="D5" s="10"/>
      <c r="E5" s="10"/>
      <c r="F5" s="10"/>
      <c r="G5" s="10"/>
      <c r="H5" s="10"/>
    </row>
    <row r="7" spans="1:8" ht="15.75">
      <c r="A7" s="11" t="s">
        <v>8</v>
      </c>
      <c r="B7" s="11"/>
      <c r="C7" s="11"/>
      <c r="D7" s="11"/>
      <c r="E7" s="11"/>
      <c r="F7" s="11"/>
      <c r="G7" s="11"/>
      <c r="H7" s="11"/>
    </row>
    <row r="9" spans="1:8" ht="54" customHeight="1">
      <c r="A9" s="21"/>
      <c r="B9" s="21"/>
      <c r="C9" s="22" t="s">
        <v>0</v>
      </c>
      <c r="D9" s="22"/>
      <c r="E9" s="22" t="s">
        <v>1</v>
      </c>
      <c r="F9" s="22"/>
      <c r="G9" s="22" t="s">
        <v>2</v>
      </c>
      <c r="H9" s="22"/>
    </row>
    <row r="10" spans="1:8" ht="28.5" customHeight="1">
      <c r="A10" s="12" t="s">
        <v>24</v>
      </c>
      <c r="B10" s="13"/>
      <c r="C10" s="14">
        <v>943.35</v>
      </c>
      <c r="D10" s="15"/>
      <c r="E10" s="16">
        <v>0</v>
      </c>
      <c r="F10" s="17"/>
      <c r="G10" s="16">
        <v>0</v>
      </c>
      <c r="H10" s="17"/>
    </row>
    <row r="11" spans="1:8" ht="15.75">
      <c r="A11" s="18" t="s">
        <v>3</v>
      </c>
      <c r="B11" s="18"/>
      <c r="C11" s="14">
        <f>9499.7+5958</f>
        <v>15457.7</v>
      </c>
      <c r="D11" s="15"/>
      <c r="E11" s="14">
        <f>15709.27+12048.4</f>
        <v>27757.67</v>
      </c>
      <c r="F11" s="15"/>
      <c r="G11" s="15">
        <v>0</v>
      </c>
      <c r="H11" s="15"/>
    </row>
    <row r="12" spans="1:8" ht="15.75">
      <c r="A12" s="18" t="s">
        <v>4</v>
      </c>
      <c r="B12" s="18"/>
      <c r="C12" s="14">
        <f>39825.42-E12</f>
        <v>12067.75</v>
      </c>
      <c r="D12" s="15"/>
      <c r="E12" s="14">
        <f>E11</f>
        <v>27757.67</v>
      </c>
      <c r="F12" s="15"/>
      <c r="G12" s="15">
        <v>0</v>
      </c>
      <c r="H12" s="15"/>
    </row>
    <row r="13" spans="1:8" ht="47.25" customHeight="1">
      <c r="A13" s="18" t="s">
        <v>5</v>
      </c>
      <c r="B13" s="18"/>
      <c r="C13" s="14">
        <v>13163.13</v>
      </c>
      <c r="D13" s="15"/>
      <c r="E13" s="15">
        <v>0</v>
      </c>
      <c r="F13" s="15"/>
      <c r="G13" s="15">
        <v>0</v>
      </c>
      <c r="H13" s="15"/>
    </row>
    <row r="14" spans="1:8" ht="33" customHeight="1">
      <c r="A14" s="18" t="s">
        <v>6</v>
      </c>
      <c r="B14" s="18"/>
      <c r="C14" s="14">
        <v>4026</v>
      </c>
      <c r="D14" s="15"/>
      <c r="E14" s="14">
        <f>E12</f>
        <v>27757.67</v>
      </c>
      <c r="F14" s="15"/>
      <c r="G14" s="15">
        <v>0</v>
      </c>
      <c r="H14" s="15"/>
    </row>
    <row r="15" spans="1:8" ht="92.25" customHeight="1">
      <c r="A15" s="18" t="s">
        <v>11</v>
      </c>
      <c r="B15" s="18"/>
      <c r="C15" s="14">
        <f>C10+C11-C14</f>
        <v>12375.05</v>
      </c>
      <c r="D15" s="15"/>
      <c r="E15" s="15">
        <v>0</v>
      </c>
      <c r="F15" s="15"/>
      <c r="G15" s="15">
        <v>0</v>
      </c>
      <c r="H15" s="15"/>
    </row>
    <row r="16" spans="1:2" ht="13.5" customHeight="1">
      <c r="A16" s="24"/>
      <c r="B16" s="24"/>
    </row>
    <row r="17" spans="1:2" ht="12.75" customHeight="1">
      <c r="A17" s="24"/>
      <c r="B17" s="24"/>
    </row>
    <row r="18" spans="1:2" ht="15.75">
      <c r="A18" s="23" t="s">
        <v>9</v>
      </c>
      <c r="B18" s="23"/>
    </row>
    <row r="19" spans="1:2" ht="15.75">
      <c r="A19" s="4"/>
      <c r="B19" s="4"/>
    </row>
    <row r="20" spans="1:2" ht="15.75">
      <c r="A20" s="4"/>
      <c r="B20" s="4"/>
    </row>
    <row r="21" spans="1:2" ht="15.75">
      <c r="A21" s="23"/>
      <c r="B21" s="23"/>
    </row>
    <row r="22" spans="1:2" ht="15.75">
      <c r="A22" s="4"/>
      <c r="B22" s="4"/>
    </row>
    <row r="23" spans="1:4" ht="15.75">
      <c r="A23" s="23" t="s">
        <v>10</v>
      </c>
      <c r="B23" s="23"/>
      <c r="C23" s="23"/>
      <c r="D23" s="23"/>
    </row>
    <row r="24" spans="1:2" ht="15.75">
      <c r="A24" s="4"/>
      <c r="B24" s="4"/>
    </row>
    <row r="25" spans="1:2" ht="15.75">
      <c r="A25" s="23" t="s">
        <v>30</v>
      </c>
      <c r="B25" s="23"/>
    </row>
  </sheetData>
  <sheetProtection/>
  <mergeCells count="38"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09</cp:lastModifiedBy>
  <cp:lastPrinted>2017-03-22T03:46:25Z</cp:lastPrinted>
  <dcterms:created xsi:type="dcterms:W3CDTF">1996-10-08T23:32:33Z</dcterms:created>
  <dcterms:modified xsi:type="dcterms:W3CDTF">2017-03-29T09:15:03Z</dcterms:modified>
  <cp:category/>
  <cp:version/>
  <cp:contentType/>
  <cp:contentStatus/>
</cp:coreProperties>
</file>