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omments40.xml" ContentType="application/vnd.openxmlformats-officedocument.spreadsheetml.comments+xml"/>
  <Override PartName="/xl/comments41.xml" ContentType="application/vnd.openxmlformats-officedocument.spreadsheetml.comments+xml"/>
  <Override PartName="/xl/comments42.xml" ContentType="application/vnd.openxmlformats-officedocument.spreadsheetml.comments+xml"/>
  <Override PartName="/xl/comments43.xml" ContentType="application/vnd.openxmlformats-officedocument.spreadsheetml.comments+xml"/>
  <Override PartName="/xl/comments44.xml" ContentType="application/vnd.openxmlformats-officedocument.spreadsheetml.comments+xml"/>
  <Override PartName="/xl/comments45.xml" ContentType="application/vnd.openxmlformats-officedocument.spreadsheetml.comments+xml"/>
  <Override PartName="/xl/comments4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у\2019год\"/>
    </mc:Choice>
  </mc:AlternateContent>
  <xr:revisionPtr revIDLastSave="0" documentId="13_ncr:1_{F4D9175B-3A61-43BE-A1E6-A41263AA510E}" xr6:coauthVersionLast="37" xr6:coauthVersionMax="37" xr10:uidLastSave="{00000000-0000-0000-0000-000000000000}"/>
  <bookViews>
    <workbookView xWindow="5340" yWindow="540" windowWidth="9720" windowHeight="7320" tabRatio="884" xr2:uid="{00000000-000D-0000-FFFF-FFFF00000000}"/>
  </bookViews>
  <sheets>
    <sheet name="Космонавтов 11" sheetId="16" r:id="rId1"/>
    <sheet name="Космонавтов 15А" sheetId="78" r:id="rId2"/>
    <sheet name="Космонавтов 20" sheetId="79" r:id="rId3"/>
    <sheet name="Космонавтов 21" sheetId="80" r:id="rId4"/>
    <sheet name="Ленина 6Б" sheetId="82" r:id="rId5"/>
    <sheet name="Ленина 34" sheetId="84" r:id="rId6"/>
    <sheet name="Ленина 35" sheetId="85" r:id="rId7"/>
    <sheet name="Ленина 36" sheetId="86" r:id="rId8"/>
    <sheet name="Ленина 37" sheetId="87" r:id="rId9"/>
    <sheet name="Ленина 39" sheetId="88" r:id="rId10"/>
    <sheet name="Мира 34" sheetId="90" r:id="rId11"/>
    <sheet name="Мира 36А" sheetId="91" r:id="rId12"/>
    <sheet name="Мира 38" sheetId="92" r:id="rId13"/>
    <sheet name="Мира 38А" sheetId="93" r:id="rId14"/>
    <sheet name="Московская 31" sheetId="94" r:id="rId15"/>
    <sheet name="Московская 33" sheetId="95" r:id="rId16"/>
    <sheet name="Павлова 28" sheetId="97" r:id="rId17"/>
    <sheet name="Павлова 30" sheetId="98" r:id="rId18"/>
    <sheet name="Павлова 45" sheetId="99" r:id="rId19"/>
    <sheet name="Павлова 47" sheetId="100" r:id="rId20"/>
    <sheet name="Павлова 47А" sheetId="101" r:id="rId21"/>
    <sheet name="Павлова 53" sheetId="102" r:id="rId22"/>
    <sheet name="Победы 22Б" sheetId="135" r:id="rId23"/>
    <sheet name="Победы 22В" sheetId="136" r:id="rId24"/>
    <sheet name="Пирогова 21" sheetId="104" r:id="rId25"/>
    <sheet name="Пирогова 23" sheetId="105" r:id="rId26"/>
    <sheet name="Пирогова 34" sheetId="106" r:id="rId27"/>
    <sheet name="Сергея Буладо 1" sheetId="107" r:id="rId28"/>
    <sheet name="Сергея Буландо 3" sheetId="108" r:id="rId29"/>
    <sheet name="Сергея Буландо 4" sheetId="109" r:id="rId30"/>
    <sheet name="Сергея Буландо 5" sheetId="110" r:id="rId31"/>
    <sheet name="Сергея Буландо 7" sheetId="111" r:id="rId32"/>
    <sheet name="Советской Армии 5А" sheetId="134" r:id="rId33"/>
    <sheet name="Советской Армии 20" sheetId="112" r:id="rId34"/>
    <sheet name="Советской Армии 22" sheetId="113" r:id="rId35"/>
    <sheet name="Советской Армии 24" sheetId="114" r:id="rId36"/>
    <sheet name="Советской Армии 25" sheetId="115" r:id="rId37"/>
    <sheet name="Советской Армии 26" sheetId="116" r:id="rId38"/>
    <sheet name="Строителей 13" sheetId="118" r:id="rId39"/>
    <sheet name="Строителей 13А" sheetId="119" r:id="rId40"/>
    <sheet name="Строителей 15" sheetId="120" r:id="rId41"/>
    <sheet name="Строителей 32" sheetId="121" r:id="rId42"/>
    <sheet name="Яблочкова 11" sheetId="125" r:id="rId43"/>
    <sheet name="Яблочкова 13А" sheetId="139" r:id="rId44"/>
    <sheet name="Яблочкова 19" sheetId="126" r:id="rId45"/>
    <sheet name="Яблочкова 21А" sheetId="127" r:id="rId46"/>
    <sheet name="Яблочкова 23" sheetId="128" r:id="rId47"/>
    <sheet name="Яблочкова 23А" sheetId="129" r:id="rId48"/>
    <sheet name="Яблочкова 25" sheetId="130" r:id="rId49"/>
    <sheet name="Яблочкова 34" sheetId="131" r:id="rId50"/>
    <sheet name="Яблочкова 36" sheetId="132" r:id="rId51"/>
    <sheet name="Яблочкова 36А" sheetId="133" r:id="rId52"/>
  </sheets>
  <definedNames>
    <definedName name="_xlnm.Print_Area" localSheetId="1">'Космонавтов 15А'!$A$1:$H$29</definedName>
    <definedName name="_xlnm.Print_Area" localSheetId="20">'Павлова 47А'!$A$1:$H$25</definedName>
    <definedName name="_xlnm.Print_Area" localSheetId="30">'Сергея Буландо 5'!$A$1:$H$25</definedName>
    <definedName name="_xlnm.Print_Area" localSheetId="38">'Строителей 13'!$A$1:$H$29</definedName>
    <definedName name="_xlnm.Print_Area" localSheetId="42">'Яблочкова 11'!$A$1:$H$24</definedName>
    <definedName name="_xlnm.Print_Area" localSheetId="43">'Яблочкова 13А'!$A$1:$H$24</definedName>
    <definedName name="_xlnm.Print_Area" localSheetId="48">'Яблочкова 25'!$A$1:$H$25</definedName>
    <definedName name="_xlnm.Print_Area" localSheetId="49">'Яблочкова 34'!$A$1:$H$26</definedName>
    <definedName name="_xlnm.Print_Area" localSheetId="50">'Яблочкова 36'!$A$1:$H$26</definedName>
  </definedNames>
  <calcPr calcId="179021"/>
</workbook>
</file>

<file path=xl/calcChain.xml><?xml version="1.0" encoding="utf-8"?>
<calcChain xmlns="http://schemas.openxmlformats.org/spreadsheetml/2006/main">
  <c r="E12" i="133" l="1"/>
  <c r="E12" i="132"/>
  <c r="E12" i="115"/>
  <c r="C12" i="107"/>
  <c r="C12" i="111"/>
  <c r="C15" i="136"/>
  <c r="E12" i="136"/>
  <c r="C12" i="108"/>
  <c r="C13" i="135" l="1"/>
  <c r="E13" i="135"/>
  <c r="E12" i="135"/>
  <c r="C12" i="113" l="1"/>
  <c r="C15" i="109"/>
  <c r="C12" i="110"/>
  <c r="C12" i="109" l="1"/>
  <c r="C15" i="101" l="1"/>
  <c r="E14" i="133" l="1"/>
  <c r="E11" i="133"/>
  <c r="E14" i="132"/>
  <c r="E11" i="132"/>
  <c r="C12" i="116"/>
  <c r="E11" i="116"/>
  <c r="C11" i="116"/>
  <c r="E14" i="115"/>
  <c r="E11" i="115"/>
  <c r="C12" i="114"/>
  <c r="E11" i="114"/>
  <c r="E11" i="113"/>
  <c r="C12" i="112"/>
  <c r="E11" i="112"/>
  <c r="C12" i="134"/>
  <c r="E14" i="134"/>
  <c r="E12" i="134"/>
  <c r="E14" i="88"/>
  <c r="E12" i="88"/>
  <c r="C12" i="88"/>
  <c r="E11" i="88"/>
  <c r="E14" i="86"/>
  <c r="C12" i="87"/>
  <c r="E11" i="87"/>
  <c r="C12" i="85"/>
  <c r="E11" i="85"/>
  <c r="C12" i="84"/>
  <c r="E11" i="84"/>
  <c r="C11" i="84"/>
  <c r="C12" i="82"/>
  <c r="E12" i="82"/>
  <c r="E11" i="82"/>
  <c r="E14" i="136" l="1"/>
  <c r="E11" i="136"/>
  <c r="E14" i="135"/>
  <c r="E11" i="135"/>
  <c r="C12" i="118"/>
  <c r="E11" i="118"/>
  <c r="E14" i="119"/>
  <c r="E12" i="119"/>
  <c r="C12" i="119"/>
  <c r="E11" i="119"/>
  <c r="C12" i="120"/>
  <c r="E11" i="120"/>
  <c r="E14" i="121"/>
  <c r="C12" i="121"/>
  <c r="E11" i="121"/>
  <c r="C12" i="131"/>
  <c r="C12" i="130"/>
  <c r="E11" i="130"/>
  <c r="C12" i="129"/>
  <c r="E11" i="129"/>
  <c r="C11" i="129"/>
  <c r="E12" i="128"/>
  <c r="C12" i="128"/>
  <c r="E11" i="128"/>
  <c r="C12" i="127"/>
  <c r="E11" i="127"/>
  <c r="E11" i="139"/>
  <c r="C15" i="139"/>
  <c r="C16" i="139" s="1"/>
  <c r="C13" i="126"/>
  <c r="C12" i="126"/>
  <c r="E11" i="126"/>
  <c r="C11" i="126"/>
  <c r="C12" i="125"/>
  <c r="E11" i="125"/>
  <c r="C12" i="106" l="1"/>
  <c r="E11" i="106"/>
  <c r="C12" i="105"/>
  <c r="E11" i="105"/>
  <c r="C12" i="104"/>
  <c r="E11" i="104"/>
  <c r="C12" i="102"/>
  <c r="E11" i="102"/>
  <c r="C12" i="101"/>
  <c r="E11" i="101"/>
  <c r="C12" i="100"/>
  <c r="E11" i="100"/>
  <c r="C12" i="98"/>
  <c r="E11" i="98"/>
  <c r="C12" i="97"/>
  <c r="E11" i="97"/>
  <c r="C12" i="95"/>
  <c r="E11" i="95"/>
  <c r="C12" i="94"/>
  <c r="E11" i="94"/>
  <c r="C12" i="93"/>
  <c r="E11" i="93"/>
  <c r="C12" i="92"/>
  <c r="E11" i="92"/>
  <c r="E14" i="91"/>
  <c r="E12" i="91"/>
  <c r="C12" i="91"/>
  <c r="E11" i="91"/>
  <c r="C12" i="90"/>
  <c r="E11" i="90"/>
  <c r="E11" i="108" l="1"/>
  <c r="C11" i="108"/>
  <c r="E11" i="110"/>
  <c r="E11" i="109"/>
  <c r="E12" i="107"/>
  <c r="E11" i="107"/>
  <c r="C11" i="107"/>
  <c r="E11" i="111"/>
  <c r="C11" i="111"/>
  <c r="C12" i="99"/>
  <c r="E11" i="99"/>
  <c r="C12" i="80"/>
  <c r="E11" i="80"/>
  <c r="C11" i="80"/>
  <c r="E11" i="79"/>
  <c r="C12" i="78"/>
  <c r="E11" i="78"/>
  <c r="C11" i="78"/>
  <c r="C12" i="16"/>
  <c r="E11" i="16"/>
  <c r="C15" i="113" l="1"/>
  <c r="C15" i="102"/>
  <c r="C15" i="135"/>
  <c r="C15" i="134"/>
  <c r="E12" i="78"/>
  <c r="E14" i="78" s="1"/>
  <c r="E12" i="110"/>
  <c r="E14" i="126"/>
  <c r="C15" i="133"/>
  <c r="C15" i="132"/>
  <c r="E14" i="131"/>
  <c r="C15" i="131"/>
  <c r="C15" i="130"/>
  <c r="E14" i="130"/>
  <c r="C15" i="129"/>
  <c r="E14" i="129"/>
  <c r="C15" i="128"/>
  <c r="E14" i="128"/>
  <c r="C15" i="127"/>
  <c r="E14" i="127"/>
  <c r="C15" i="126"/>
  <c r="E14" i="125"/>
  <c r="C15" i="125"/>
  <c r="C16" i="125" s="1"/>
  <c r="C15" i="121"/>
  <c r="C15" i="120"/>
  <c r="E14" i="120"/>
  <c r="C15" i="119"/>
  <c r="E13" i="119"/>
  <c r="C15" i="118"/>
  <c r="E14" i="118"/>
  <c r="C15" i="116"/>
  <c r="E12" i="116"/>
  <c r="C15" i="115"/>
  <c r="C15" i="114"/>
  <c r="E12" i="114"/>
  <c r="E12" i="113"/>
  <c r="E14" i="113" s="1"/>
  <c r="E12" i="112"/>
  <c r="E14" i="112" s="1"/>
  <c r="C15" i="112"/>
  <c r="C15" i="111"/>
  <c r="E14" i="111"/>
  <c r="C15" i="110"/>
  <c r="E14" i="109"/>
  <c r="E14" i="108"/>
  <c r="C15" i="108"/>
  <c r="E14" i="107"/>
  <c r="C15" i="107"/>
  <c r="E12" i="106"/>
  <c r="E14" i="106" s="1"/>
  <c r="C15" i="106"/>
  <c r="C15" i="105"/>
  <c r="E12" i="105"/>
  <c r="E14" i="105" s="1"/>
  <c r="C15" i="104"/>
  <c r="E14" i="104"/>
  <c r="E14" i="102"/>
  <c r="E14" i="101"/>
  <c r="C15" i="100"/>
  <c r="E12" i="100"/>
  <c r="E14" i="100"/>
  <c r="E12" i="99"/>
  <c r="E14" i="99"/>
  <c r="C15" i="99"/>
  <c r="C15" i="98"/>
  <c r="E12" i="98"/>
  <c r="E14" i="98"/>
  <c r="C15" i="97"/>
  <c r="E12" i="97"/>
  <c r="E13" i="97" s="1"/>
  <c r="C15" i="95"/>
  <c r="E12" i="95"/>
  <c r="C15" i="94"/>
  <c r="E12" i="94"/>
  <c r="E14" i="94"/>
  <c r="C15" i="93"/>
  <c r="E12" i="93"/>
  <c r="C15" i="92"/>
  <c r="E12" i="92"/>
  <c r="E14" i="92" s="1"/>
  <c r="C15" i="91"/>
  <c r="E12" i="90"/>
  <c r="C15" i="90"/>
  <c r="C15" i="88"/>
  <c r="C15" i="87"/>
  <c r="E12" i="87"/>
  <c r="E14" i="87" s="1"/>
  <c r="C15" i="86"/>
  <c r="C15" i="85"/>
  <c r="E12" i="85"/>
  <c r="E14" i="85"/>
  <c r="C15" i="84"/>
  <c r="E12" i="84"/>
  <c r="C15" i="82"/>
  <c r="E14" i="82"/>
  <c r="C15" i="80"/>
  <c r="E12" i="80"/>
  <c r="C15" i="79"/>
  <c r="E12" i="79"/>
  <c r="E14" i="79" s="1"/>
  <c r="C15" i="78"/>
  <c r="E14" i="16"/>
  <c r="C15" i="16"/>
  <c r="E12" i="16"/>
  <c r="E12" i="131"/>
  <c r="E12" i="130"/>
  <c r="E12" i="129"/>
  <c r="E12" i="127"/>
  <c r="E12" i="126"/>
  <c r="E12" i="125"/>
  <c r="E12" i="121"/>
  <c r="E12" i="120"/>
  <c r="E12" i="118"/>
  <c r="E14" i="114"/>
  <c r="E12" i="111"/>
  <c r="E12" i="109"/>
  <c r="E12" i="108"/>
  <c r="E12" i="104"/>
  <c r="E12" i="102"/>
  <c r="E12" i="101"/>
  <c r="E14" i="97"/>
  <c r="E14" i="95"/>
  <c r="E14" i="93"/>
  <c r="E14" i="90"/>
  <c r="E14" i="84"/>
  <c r="E14" i="80"/>
  <c r="E14" i="110"/>
  <c r="E14" i="1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B5181C4D-E199-48B8-9A40-4CD5138E95E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D58855B-4C70-4E56-B28B-B2A51FE8EC4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9B2C57DC-1E2D-4FDC-9BA4-B699F38A69D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68B728E6-A727-451A-A920-3D7CD3234544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F41AC83-B801-4AAF-B203-81E7C92F6C9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40BA8127-1310-4839-8887-79A6CEF262D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9F778D51-86EA-4B1A-A1BE-93BF760D207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080503E-D161-45AC-99B3-30F87184D52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4B22D6BB-6D7B-4AB1-8A49-553C32FED41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03745473-554E-4A53-A8ED-DFBDC34D299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48D9C4D-3F4C-4597-94D0-5C06EEDBEC0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6EECF0BC-E553-447A-99E8-AB95299ABCA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56E556B4-9F7F-4E4E-B38E-24B8DA72C61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80CCF0E-9569-4B53-89AB-C5F83E89397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5EA6593-A6BB-48B9-8E4B-56AC53F25C5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7B6540A4-7260-433B-9A7C-2E1EC27044C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CB8B338-FBB3-4081-A09D-DC20FF6F56B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87F7DDE-FD00-477D-9A5B-DE8DB4E0549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12/02/2020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AE772A91-98D6-44C7-9A44-1A7681185EF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
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76870AC-0851-403D-8092-BD6A40121AE9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5574B6D3-B538-4B61-AEDC-510503FE6E4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43B044F2-D74E-4281-AEA0-9BC09DF309F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6FAE7C0-601D-4B0B-B871-F2A51F15547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
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6CB9AE3-F4DA-43D3-A7BE-4757FEE2B35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00BAFE1-8401-440C-BFF6-3A608D97935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1F2F166E-B11F-482E-A817-16A313EB88C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
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5C40AEA-F5B6-499C-98D2-DDC3B7C0A66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
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45AA9BF9-AB81-46AA-8DAF-6FE8024341F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75AAB75C-A208-43F8-943E-B764E469C7C5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
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7EB043A-7911-4603-B7B8-226447A092C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81C90D38-F96B-42E6-80A6-B3F413C3F27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59DF41C8-52DD-4C53-B197-4DCD8160FE0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AFC82334-5CD0-4A12-81E1-0CDA77692B1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3" authorId="0" shapeId="0" xr:uid="{B7D4E27C-23DC-4C79-ABF7-5B597AB4186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11/02/2020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D0441A04-E394-4B2D-B77C-B0397AAB5D1B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5DB4991-1F50-44D0-92D1-E9B1063D11A8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FD2FF987-0D1C-4E3D-B652-0F3D6A67464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CEA1096F-79BC-4064-BFCC-A053BBD9BAC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
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2E4A9E0F-778F-4F66-9C77-0CD85AAAB15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DA5D8BFD-E9AF-456E-A649-8056BB9B917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13/02/2020
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5B0D972-CFAD-45C9-A7D4-932C502A1EBF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2" authorId="0" shapeId="0" xr:uid="{829F3ECA-6420-4BA2-A971-87781A15472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C4C3C8FE-1117-4E5A-AF12-230BC172E1B2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817120F3-1A61-49EF-97F0-2B3C0156994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86823FB2-E2EF-4F3A-BF87-6AAC8CD16DA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3" authorId="0" shapeId="0" xr:uid="{E473CAF8-2E1F-4440-B5D6-3ABDE39ED4B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14/02/2020
</t>
        </r>
      </text>
    </comment>
  </commentList>
</comments>
</file>

<file path=xl/sharedStrings.xml><?xml version="1.0" encoding="utf-8"?>
<sst xmlns="http://schemas.openxmlformats.org/spreadsheetml/2006/main" count="895" uniqueCount="145">
  <si>
    <t>Текущий ремонт жилых домов (руб.)</t>
  </si>
  <si>
    <t>Содержание жилых домов (руб.)</t>
  </si>
  <si>
    <t>Капитальный ремонт жилых домов (руб.)</t>
  </si>
  <si>
    <t>2. Начислено</t>
  </si>
  <si>
    <t>3. Оплачено:</t>
  </si>
  <si>
    <t>4. Задолженность на конец отчетного периода</t>
  </si>
  <si>
    <t>5. Выполнено работ (оказано услуг)</t>
  </si>
  <si>
    <t>II. Основные показатели финансово-хозяйственной деятельности управляющей организации по каждому дому</t>
  </si>
  <si>
    <t>Таблица № 1</t>
  </si>
  <si>
    <t>Примечание:</t>
  </si>
  <si>
    <t>п.5 = данные управляющей организации</t>
  </si>
  <si>
    <t xml:space="preserve">6. Остаток на конец отчетного года                  "-" - перевыполнено работ                                "+" - недовыполнено работ            </t>
  </si>
  <si>
    <t>ул. Ленина, 34</t>
  </si>
  <si>
    <t>ул. Ленина, 35</t>
  </si>
  <si>
    <t>ул. Ленина, 36</t>
  </si>
  <si>
    <t>ул. Ленина, 37</t>
  </si>
  <si>
    <t>ул. Ленина, 39</t>
  </si>
  <si>
    <t>ул. Яблочкова, 19</t>
  </si>
  <si>
    <t>ул. Яблочкова, 21а</t>
  </si>
  <si>
    <t>ул. Яблочкова, 23</t>
  </si>
  <si>
    <t>ул. Яблочкова, 23а</t>
  </si>
  <si>
    <t>ул. Яблочкова, 25</t>
  </si>
  <si>
    <t>ул. Космонавтов, 11</t>
  </si>
  <si>
    <t>1. Остаток на начало года</t>
  </si>
  <si>
    <t>ул.Сергея Буландо,1</t>
  </si>
  <si>
    <t>ул.Сергея Буландо,3</t>
  </si>
  <si>
    <t>ул.Сергея Буландо,5</t>
  </si>
  <si>
    <t>ул.Сергея Буландо,7</t>
  </si>
  <si>
    <t>ул.Ленина,6б</t>
  </si>
  <si>
    <t>п.6 = п.1+п.2 - п.5</t>
  </si>
  <si>
    <t>п.6 = п.1 + п.2 - п.5</t>
  </si>
  <si>
    <t>п.6 = п.1+п.2- п.5</t>
  </si>
  <si>
    <t>п.6 = п.1+п.2-п.5</t>
  </si>
  <si>
    <t>ул. Космонавтов, 15а</t>
  </si>
  <si>
    <t>ул. Космонавтов, 20</t>
  </si>
  <si>
    <t>ул. Космонавтов, 21</t>
  </si>
  <si>
    <t>Общая площадь 1662,70 кв.м.</t>
  </si>
  <si>
    <t>Основные показатели финансово-хозяйственной деятельности управляющей организации по каждому дому</t>
  </si>
  <si>
    <t>1. Остаток на начало года:</t>
  </si>
  <si>
    <t>2. Начислено:</t>
  </si>
  <si>
    <t>4. Задолженность на конец отчетного периода:</t>
  </si>
  <si>
    <t>5. Выполнено работ (оказано услуг):</t>
  </si>
  <si>
    <t>Общая площадь 764,3 кв.м.</t>
  </si>
  <si>
    <t>Общая площадь 713,09 кв.м.</t>
  </si>
  <si>
    <t>ул. Мира, 34</t>
  </si>
  <si>
    <t>ул. Мира, 36а</t>
  </si>
  <si>
    <t>ул. Мира, 38</t>
  </si>
  <si>
    <t>ул. Мира, 38а</t>
  </si>
  <si>
    <t>ул. Московская, 31</t>
  </si>
  <si>
    <t>ул. Московская, 33</t>
  </si>
  <si>
    <t xml:space="preserve"> </t>
  </si>
  <si>
    <t>ул. Павлова, 28</t>
  </si>
  <si>
    <t>ул. Павлова, 30</t>
  </si>
  <si>
    <t>-</t>
  </si>
  <si>
    <t>ул. Павлова, 45</t>
  </si>
  <si>
    <t>1.1. Остаток на начало года</t>
  </si>
  <si>
    <t>ул. Павлова, 47</t>
  </si>
  <si>
    <t>ул. Павлова, 47а</t>
  </si>
  <si>
    <t>ул. Павлова, 53</t>
  </si>
  <si>
    <t>ул. Пирогова, 21</t>
  </si>
  <si>
    <t>Общая площадь 1088,6 кв.м.</t>
  </si>
  <si>
    <t>ул. Пирогова, 23</t>
  </si>
  <si>
    <t>Общая площадь 602,2 кв.м.</t>
  </si>
  <si>
    <t>ул. Пирогова, 34</t>
  </si>
  <si>
    <t>ул. Сергея Буландо,4</t>
  </si>
  <si>
    <t>ул. Советской Армии, 20</t>
  </si>
  <si>
    <t>ул. Советской Армии, 22</t>
  </si>
  <si>
    <t>ул. Советской Армии, 24</t>
  </si>
  <si>
    <t>ул. Советской Армии,25</t>
  </si>
  <si>
    <t>ул. Советской Армии, 26</t>
  </si>
  <si>
    <t>ул. Строителей, 13</t>
  </si>
  <si>
    <t>ул. Строителей, 13а</t>
  </si>
  <si>
    <t>ул. Строителей, 15</t>
  </si>
  <si>
    <t>ул. Строителей, 32</t>
  </si>
  <si>
    <t>ул. Яблочкова, 11</t>
  </si>
  <si>
    <t>Общая площадь 3035.10 кв.м.</t>
  </si>
  <si>
    <t>Директор ООО"Городской управляющей компании"</t>
  </si>
  <si>
    <t>А.Г. Абдулзалилов</t>
  </si>
  <si>
    <t>исполнитель:</t>
  </si>
  <si>
    <t xml:space="preserve">О.А. Шумакова </t>
  </si>
  <si>
    <t>ул. Яблочкова, 34</t>
  </si>
  <si>
    <t>п.6 = п. 1+п.2 - п.5</t>
  </si>
  <si>
    <t>исполнитель:                   О.А.Шумакова</t>
  </si>
  <si>
    <t>ул. Яблочкова, 36</t>
  </si>
  <si>
    <t>ул. Яблочкова, 36а</t>
  </si>
  <si>
    <t xml:space="preserve">6. Остаток на конец отчетного года
"-" - перевыполнено работ
"+" - недовыполнено работ            </t>
  </si>
  <si>
    <t>II. Основные показатели финансово-хозяйственной деятельности управляющей организации</t>
  </si>
  <si>
    <t>Общая площадь 4038,9 кв.м.</t>
  </si>
  <si>
    <t xml:space="preserve">6. Остаток на конец отчетного года
"-"  перевыполнено работ
"+" недовыполнено работ            </t>
  </si>
  <si>
    <t xml:space="preserve">6. Остаток на конец отчетного года
"-" - перевыполнено работ                                "+" - недовыполнено работ            </t>
  </si>
  <si>
    <t>7. Остаток средств с учетом задолженности населения
"-" - задолженность
"+" - наличие</t>
  </si>
  <si>
    <t>ул. Советской Армии, 5а</t>
  </si>
  <si>
    <t>ул. Победы, 22б</t>
  </si>
  <si>
    <t>ул. Победы, 22в</t>
  </si>
  <si>
    <t>за 2019г.</t>
  </si>
  <si>
    <t>за  2019г.</t>
  </si>
  <si>
    <t>Общая площадь 5712,32 кв.м.</t>
  </si>
  <si>
    <t>Общая площадь 2652,41 кв.м.</t>
  </si>
  <si>
    <t>Общая площадь 3010,92 кв.м.</t>
  </si>
  <si>
    <t>Общая площадь 2160,2 кв.м.</t>
  </si>
  <si>
    <t>Общая площадь 3217,10 кв.м</t>
  </si>
  <si>
    <t>за   2019г.</t>
  </si>
  <si>
    <t>Общая площадь 4048,40 кв.м.</t>
  </si>
  <si>
    <t>Общая площадь 4911,60 кв.м.</t>
  </si>
  <si>
    <t>за    2019г.</t>
  </si>
  <si>
    <t>Общая площадь 4117,00 кв.м.</t>
  </si>
  <si>
    <t>Общая площадь 4110,50 кв.м.</t>
  </si>
  <si>
    <t>Общая площадь 2514,60 кв.м.</t>
  </si>
  <si>
    <t>Общая площадь 2513,80 кв.м.</t>
  </si>
  <si>
    <t>Общая площадь 2573,55 кв.м.</t>
  </si>
  <si>
    <t>Общая площадь 2587,70 кв.м.</t>
  </si>
  <si>
    <t>Общая площадь 1100,50 кв.м.</t>
  </si>
  <si>
    <t>Общая площадь 1412,73 кв.м.</t>
  </si>
  <si>
    <t>Общая площадь 2809,60 кв.м.</t>
  </si>
  <si>
    <t>Общая площадь 3999,90 кв.м.</t>
  </si>
  <si>
    <t>Общая площадь 4235,40 кв.м.</t>
  </si>
  <si>
    <t>Общая площадь 4417,7 кв.м.</t>
  </si>
  <si>
    <t>Общая площадь 4476,6 кв.м.</t>
  </si>
  <si>
    <t>Общая площадь 327,21 кв.м.</t>
  </si>
  <si>
    <t>Общая площадь 4893,7 кв.м.</t>
  </si>
  <si>
    <t>ул. Яблочкова, 13А</t>
  </si>
  <si>
    <t>Общая площадь 2273,3 кв.м.</t>
  </si>
  <si>
    <t>Общая площадь 3113,70 кв.м.</t>
  </si>
  <si>
    <t>Общая площадь 5635,40 кв.м.</t>
  </si>
  <si>
    <t>Общая площадь 4268,8 кв.м.</t>
  </si>
  <si>
    <t>Общая площадь 2123,50 кв.м.</t>
  </si>
  <si>
    <t>Общая площадь 5386,10 кв.м.</t>
  </si>
  <si>
    <t>Общая площадь 632,6 кв.м.</t>
  </si>
  <si>
    <t>Общая площадь 1505,28 кв.м.</t>
  </si>
  <si>
    <t>Общая площадь 2531,70 кв.м.</t>
  </si>
  <si>
    <t>Общая площадь 1424,44 кв.м.</t>
  </si>
  <si>
    <t>Общая площадь 2633,60 кв.м.</t>
  </si>
  <si>
    <t>Общая площадь 6244,50 кв.м.</t>
  </si>
  <si>
    <t xml:space="preserve"> 2019г.</t>
  </si>
  <si>
    <t>Общая площадь 3612,63 кв.м.</t>
  </si>
  <si>
    <t>Общая площадь жилых помещений 1510,10 кв.м.</t>
  </si>
  <si>
    <t>Общая площадь 331,0 кв.м.</t>
  </si>
  <si>
    <t>Общая площадь 2665,20 кв.м.</t>
  </si>
  <si>
    <t>Общая площадь 4338,10 кв.м.</t>
  </si>
  <si>
    <t>Общая площадь 1767,20 кв.м.</t>
  </si>
  <si>
    <t>Общая площадь 5630,90 кв.м.</t>
  </si>
  <si>
    <t>Общая площадь 4142,90 кв.м.</t>
  </si>
  <si>
    <t>Общая площадь 4892,00 кв.м</t>
  </si>
  <si>
    <t>Общая площадь 9475,50 кв.м.</t>
  </si>
  <si>
    <t>Общая площадь 5969,40 кв.м.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</si>
</sst>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 applyAlignment="1"/>
    <xf numFmtId="0" fontId="1" fillId="0" borderId="1" xfId="0" applyFont="1" applyBorder="1"/>
    <xf numFmtId="0" fontId="7" fillId="0" borderId="0" xfId="0" applyFont="1"/>
    <xf numFmtId="0" fontId="8" fillId="0" borderId="0" xfId="0" applyFo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2" fontId="7" fillId="0" borderId="4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3.xml"/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4.xml"/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6.xml"/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7.xml"/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0.xml"/><Relationship Id="rId2" Type="http://schemas.openxmlformats.org/officeDocument/2006/relationships/vmlDrawing" Target="../drawings/vmlDrawing40.v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1.xml"/><Relationship Id="rId2" Type="http://schemas.openxmlformats.org/officeDocument/2006/relationships/vmlDrawing" Target="../drawings/vmlDrawing41.v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2.xml"/><Relationship Id="rId2" Type="http://schemas.openxmlformats.org/officeDocument/2006/relationships/vmlDrawing" Target="../drawings/vmlDrawing42.v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3.xml"/><Relationship Id="rId2" Type="http://schemas.openxmlformats.org/officeDocument/2006/relationships/vmlDrawing" Target="../drawings/vmlDrawing43.v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4.xml"/><Relationship Id="rId2" Type="http://schemas.openxmlformats.org/officeDocument/2006/relationships/vmlDrawing" Target="../drawings/vmlDrawing44.v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5.xml"/><Relationship Id="rId2" Type="http://schemas.openxmlformats.org/officeDocument/2006/relationships/vmlDrawing" Target="../drawings/vmlDrawing45.v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6.xml"/><Relationship Id="rId2" Type="http://schemas.openxmlformats.org/officeDocument/2006/relationships/vmlDrawing" Target="../drawings/vmlDrawing46.vml"/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2">
    <tabColor rgb="FFFFC000"/>
  </sheetPr>
  <dimension ref="A1:H25"/>
  <sheetViews>
    <sheetView tabSelected="1" view="pageBreakPreview" zoomScale="85" zoomScaleNormal="100" zoomScaleSheetLayoutView="85" workbookViewId="0">
      <selection activeCell="C15" sqref="C15:D15"/>
    </sheetView>
  </sheetViews>
  <sheetFormatPr defaultRowHeight="12.75" x14ac:dyDescent="0.2"/>
  <cols>
    <col min="2" max="2" width="19.85546875" customWidth="1"/>
    <col min="8" max="8" width="11.42578125" customWidth="1"/>
  </cols>
  <sheetData>
    <row r="1" spans="1:8" ht="15.75" x14ac:dyDescent="0.2">
      <c r="A1" s="44" t="s">
        <v>22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97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14"/>
      <c r="B3" s="14"/>
      <c r="C3" s="17"/>
      <c r="D3" s="17" t="s">
        <v>94</v>
      </c>
      <c r="E3" s="14"/>
      <c r="F3" s="14"/>
      <c r="G3" s="14"/>
      <c r="H3" s="1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-83823.22</v>
      </c>
      <c r="D10" s="49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41">
        <v>103445.52</v>
      </c>
      <c r="D11" s="42"/>
      <c r="E11" s="41">
        <f>125087.52+131612.64</f>
        <v>256700.16000000003</v>
      </c>
      <c r="F11" s="42"/>
      <c r="G11" s="40">
        <v>0</v>
      </c>
      <c r="H11" s="40"/>
    </row>
    <row r="12" spans="1:8" ht="15.75" x14ac:dyDescent="0.2">
      <c r="A12" s="38" t="s">
        <v>4</v>
      </c>
      <c r="B12" s="38"/>
      <c r="C12" s="41">
        <f>364903.69-256700.16</f>
        <v>108203.53</v>
      </c>
      <c r="D12" s="42"/>
      <c r="E12" s="41">
        <f>E11</f>
        <v>256700.16000000003</v>
      </c>
      <c r="F12" s="42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122901.33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291336</v>
      </c>
      <c r="D14" s="40"/>
      <c r="E14" s="39">
        <f>E11</f>
        <v>256700.16000000003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-271713.7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28.5" customHeight="1" x14ac:dyDescent="0.2">
      <c r="A18" s="37"/>
      <c r="B18" s="37"/>
      <c r="C18" s="37"/>
      <c r="D18" s="37"/>
      <c r="E18" s="37"/>
      <c r="F18" s="37"/>
      <c r="G18" s="37"/>
      <c r="H18" s="37"/>
    </row>
    <row r="19" spans="1:8" ht="15.75" x14ac:dyDescent="0.2">
      <c r="A19" s="14"/>
      <c r="B19" s="14"/>
      <c r="C19" s="35"/>
      <c r="D19" s="35"/>
      <c r="E19" s="35"/>
      <c r="F19" s="35"/>
      <c r="G19" s="35"/>
      <c r="H19" s="35"/>
    </row>
    <row r="20" spans="1:8" ht="15.75" x14ac:dyDescent="0.2">
      <c r="A20" s="35"/>
      <c r="B20" s="35"/>
      <c r="C20" s="35"/>
      <c r="D20" s="35"/>
      <c r="E20" s="35"/>
      <c r="F20" s="35"/>
      <c r="G20" s="35"/>
      <c r="H20" s="35"/>
    </row>
    <row r="21" spans="1:8" ht="15.75" x14ac:dyDescent="0.2">
      <c r="A21" s="35"/>
      <c r="B21" s="35"/>
      <c r="C21" s="14"/>
      <c r="D21" s="14"/>
      <c r="E21" s="14"/>
      <c r="F21" s="14"/>
      <c r="G21" s="14"/>
      <c r="H21" s="14"/>
    </row>
    <row r="22" spans="1:8" ht="15.75" x14ac:dyDescent="0.2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">
      <c r="A23" s="35" t="s">
        <v>10</v>
      </c>
      <c r="B23" s="35"/>
      <c r="C23" s="35"/>
      <c r="D23" s="35"/>
      <c r="E23" s="14"/>
      <c r="F23" s="14"/>
      <c r="G23" s="14"/>
      <c r="H23" s="14"/>
    </row>
    <row r="24" spans="1:8" ht="15.75" x14ac:dyDescent="0.2">
      <c r="A24" s="14"/>
      <c r="B24" s="14"/>
      <c r="C24" s="14"/>
      <c r="D24" s="14"/>
      <c r="E24" s="14"/>
      <c r="F24" s="14"/>
      <c r="G24" s="14"/>
      <c r="H24" s="14"/>
    </row>
    <row r="25" spans="1:8" ht="15.75" x14ac:dyDescent="0.2">
      <c r="A25" s="35" t="s">
        <v>29</v>
      </c>
      <c r="B25" s="35"/>
      <c r="C25" s="14"/>
      <c r="D25" s="14"/>
      <c r="E25" s="14"/>
      <c r="F25" s="14"/>
      <c r="G25" s="14"/>
      <c r="H25" s="14"/>
    </row>
  </sheetData>
  <mergeCells count="40">
    <mergeCell ref="A1:H1"/>
    <mergeCell ref="A2:H2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13:B13"/>
    <mergeCell ref="C13:D13"/>
    <mergeCell ref="E13:F13"/>
    <mergeCell ref="G13:H13"/>
    <mergeCell ref="A12:B12"/>
    <mergeCell ref="C12:D12"/>
    <mergeCell ref="E12:F12"/>
    <mergeCell ref="G12:H12"/>
    <mergeCell ref="A15:B15"/>
    <mergeCell ref="C15:D15"/>
    <mergeCell ref="E15:F15"/>
    <mergeCell ref="G15:H15"/>
    <mergeCell ref="A14:B14"/>
    <mergeCell ref="C14:D14"/>
    <mergeCell ref="E14:F14"/>
    <mergeCell ref="G14:H14"/>
    <mergeCell ref="A23:D23"/>
    <mergeCell ref="A25:B25"/>
    <mergeCell ref="A16:B16"/>
    <mergeCell ref="A17:B17"/>
    <mergeCell ref="A21:B21"/>
    <mergeCell ref="C19:H19"/>
    <mergeCell ref="A20:H20"/>
    <mergeCell ref="A18:H18"/>
  </mergeCells>
  <phoneticPr fontId="2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4" sqref="C14:D1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16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43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.75" customHeight="1" x14ac:dyDescent="0.2">
      <c r="A10" s="46" t="s">
        <v>23</v>
      </c>
      <c r="B10" s="47"/>
      <c r="C10" s="39">
        <v>40041.18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33116.04</v>
      </c>
      <c r="D11" s="40"/>
      <c r="E11" s="39">
        <f>33629.34+35426.22</f>
        <v>69055.56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81162.66-E12</f>
        <v>12107.100000000006</v>
      </c>
      <c r="D12" s="40"/>
      <c r="E12" s="39">
        <f>E11</f>
        <v>69055.56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306842.99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9000</v>
      </c>
      <c r="D14" s="40"/>
      <c r="E14" s="39">
        <f>E11</f>
        <v>69055.56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64157.22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35" t="s">
        <v>9</v>
      </c>
      <c r="B18" s="35"/>
      <c r="C18" s="27"/>
      <c r="D18" s="27"/>
      <c r="E18" s="27"/>
      <c r="F18" s="27"/>
      <c r="G18" s="27"/>
      <c r="H18" s="27"/>
    </row>
    <row r="19" spans="1:8" ht="15.75" x14ac:dyDescent="0.2">
      <c r="A19" s="27"/>
      <c r="B19" s="27"/>
      <c r="C19" s="27"/>
      <c r="D19" s="27"/>
      <c r="E19" s="27"/>
      <c r="F19" s="27"/>
      <c r="G19" s="27"/>
      <c r="H19" s="27"/>
    </row>
    <row r="20" spans="1:8" ht="15.75" x14ac:dyDescent="0.2">
      <c r="A20" s="27"/>
      <c r="B20" s="27"/>
      <c r="C20" s="27"/>
      <c r="D20" s="27"/>
      <c r="E20" s="27"/>
      <c r="F20" s="27"/>
      <c r="G20" s="27"/>
      <c r="H20" s="27"/>
    </row>
    <row r="21" spans="1:8" ht="15.75" x14ac:dyDescent="0.2">
      <c r="A21" s="35"/>
      <c r="B21" s="35"/>
      <c r="C21" s="27"/>
      <c r="D21" s="27"/>
      <c r="E21" s="27"/>
      <c r="F21" s="27"/>
      <c r="G21" s="27"/>
      <c r="H21" s="27"/>
    </row>
    <row r="22" spans="1:8" ht="15.75" x14ac:dyDescent="0.2">
      <c r="A22" s="27"/>
      <c r="B22" s="27"/>
      <c r="C22" s="27"/>
      <c r="D22" s="27"/>
      <c r="E22" s="27"/>
      <c r="F22" s="27"/>
      <c r="G22" s="27"/>
      <c r="H22" s="27"/>
    </row>
    <row r="23" spans="1:8" ht="15.75" x14ac:dyDescent="0.2">
      <c r="A23" s="35" t="s">
        <v>10</v>
      </c>
      <c r="B23" s="35"/>
      <c r="C23" s="35"/>
      <c r="D23" s="35"/>
      <c r="E23" s="27"/>
      <c r="F23" s="27"/>
      <c r="G23" s="27"/>
      <c r="H23" s="27"/>
    </row>
    <row r="24" spans="1:8" ht="15.75" x14ac:dyDescent="0.2">
      <c r="A24" s="27"/>
      <c r="B24" s="27"/>
      <c r="C24" s="27"/>
      <c r="D24" s="27"/>
      <c r="E24" s="27"/>
      <c r="F24" s="27"/>
      <c r="G24" s="27"/>
      <c r="H24" s="27"/>
    </row>
    <row r="25" spans="1:8" ht="15.75" x14ac:dyDescent="0.2">
      <c r="A25" s="35" t="s">
        <v>30</v>
      </c>
      <c r="B25" s="35"/>
      <c r="C25" s="27"/>
      <c r="D25" s="27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G4" sqref="G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107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-81048.31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74231.149999999994</v>
      </c>
      <c r="D11" s="40"/>
      <c r="E11" s="39">
        <f>119047+123864.29+2833.2+6081.95</f>
        <v>251826.44</v>
      </c>
      <c r="F11" s="40"/>
      <c r="G11" s="63"/>
      <c r="H11" s="63"/>
    </row>
    <row r="12" spans="1:8" ht="15.75" x14ac:dyDescent="0.2">
      <c r="A12" s="38" t="s">
        <v>4</v>
      </c>
      <c r="B12" s="38"/>
      <c r="C12" s="39">
        <f>324475.12-251826.44</f>
        <v>72648.679999999993</v>
      </c>
      <c r="D12" s="40"/>
      <c r="E12" s="39">
        <f>E11</f>
        <v>251826.44</v>
      </c>
      <c r="F12" s="40"/>
      <c r="G12" s="63"/>
      <c r="H12" s="63"/>
    </row>
    <row r="13" spans="1:8" ht="47.25" customHeight="1" x14ac:dyDescent="0.2">
      <c r="A13" s="38" t="s">
        <v>5</v>
      </c>
      <c r="B13" s="38"/>
      <c r="C13" s="39">
        <v>356869.78</v>
      </c>
      <c r="D13" s="40"/>
      <c r="E13" s="40">
        <v>0</v>
      </c>
      <c r="F13" s="40"/>
      <c r="G13" s="40"/>
      <c r="H13" s="40"/>
    </row>
    <row r="14" spans="1:8" ht="33" customHeight="1" x14ac:dyDescent="0.2">
      <c r="A14" s="38" t="s">
        <v>6</v>
      </c>
      <c r="B14" s="38"/>
      <c r="C14" s="39">
        <v>20129.21</v>
      </c>
      <c r="D14" s="40"/>
      <c r="E14" s="39">
        <f>E12</f>
        <v>251826.44</v>
      </c>
      <c r="F14" s="40"/>
      <c r="G14" s="63"/>
      <c r="H14" s="63"/>
    </row>
    <row r="15" spans="1:8" ht="92.25" customHeight="1" x14ac:dyDescent="0.2">
      <c r="A15" s="38" t="s">
        <v>11</v>
      </c>
      <c r="B15" s="38"/>
      <c r="C15" s="39">
        <f>C10+C11-C14</f>
        <v>-26946.370000000003</v>
      </c>
      <c r="D15" s="40"/>
      <c r="E15" s="40">
        <v>0</v>
      </c>
      <c r="F15" s="40"/>
      <c r="G15" s="64"/>
      <c r="H15" s="65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45" t="s">
        <v>10</v>
      </c>
      <c r="B22" s="45"/>
      <c r="C22" s="45"/>
      <c r="D22" s="45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45" t="s">
        <v>29</v>
      </c>
      <c r="B24" s="45"/>
      <c r="C24" s="16"/>
      <c r="D24" s="16"/>
      <c r="E24" s="14"/>
      <c r="F24" s="14"/>
      <c r="G24" s="14"/>
      <c r="H24" s="14"/>
    </row>
    <row r="25" spans="1:8" ht="15.75" x14ac:dyDescent="0.2">
      <c r="A25" s="14"/>
      <c r="B25" s="14"/>
      <c r="C25" s="14"/>
      <c r="D25" s="14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4:B14"/>
    <mergeCell ref="C14:D14"/>
    <mergeCell ref="A16:B16"/>
    <mergeCell ref="A17:B17"/>
    <mergeCell ref="A18:B18"/>
    <mergeCell ref="A22:D22"/>
    <mergeCell ref="A24:B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3" sqref="C13:D1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45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108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4"/>
      <c r="B4" s="24"/>
      <c r="C4" s="24"/>
      <c r="D4" s="24"/>
      <c r="E4" s="24"/>
      <c r="F4" s="24"/>
      <c r="G4" s="24"/>
      <c r="H4" s="2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4"/>
      <c r="B6" s="24"/>
      <c r="C6" s="24"/>
      <c r="D6" s="24"/>
      <c r="E6" s="24"/>
      <c r="F6" s="24"/>
      <c r="G6" s="24"/>
      <c r="H6" s="2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4"/>
      <c r="B8" s="24"/>
      <c r="C8" s="24"/>
      <c r="D8" s="24"/>
      <c r="E8" s="24"/>
      <c r="F8" s="24"/>
      <c r="G8" s="24"/>
      <c r="H8" s="2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237117.78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72412.320000000007</v>
      </c>
      <c r="D11" s="40"/>
      <c r="E11" s="39">
        <f>119030.03+124758.24</f>
        <v>243788.27000000002</v>
      </c>
      <c r="F11" s="40"/>
      <c r="G11" s="63"/>
      <c r="H11" s="63"/>
    </row>
    <row r="12" spans="1:8" ht="15.75" x14ac:dyDescent="0.2">
      <c r="A12" s="38" t="s">
        <v>4</v>
      </c>
      <c r="B12" s="38"/>
      <c r="C12" s="39">
        <f>314884.12-243788.27</f>
        <v>71095.850000000006</v>
      </c>
      <c r="D12" s="40"/>
      <c r="E12" s="39">
        <f>E11</f>
        <v>243788.27000000002</v>
      </c>
      <c r="F12" s="40"/>
      <c r="G12" s="40"/>
      <c r="H12" s="40"/>
    </row>
    <row r="13" spans="1:8" ht="47.25" customHeight="1" x14ac:dyDescent="0.2">
      <c r="A13" s="38" t="s">
        <v>5</v>
      </c>
      <c r="B13" s="38"/>
      <c r="C13" s="39">
        <v>130303.62</v>
      </c>
      <c r="D13" s="40"/>
      <c r="E13" s="40">
        <v>0</v>
      </c>
      <c r="F13" s="40"/>
      <c r="G13" s="40"/>
      <c r="H13" s="40"/>
    </row>
    <row r="14" spans="1:8" ht="33" customHeight="1" x14ac:dyDescent="0.2">
      <c r="A14" s="38" t="s">
        <v>6</v>
      </c>
      <c r="B14" s="38"/>
      <c r="C14" s="39">
        <v>174187.06</v>
      </c>
      <c r="D14" s="40"/>
      <c r="E14" s="39">
        <f>E11</f>
        <v>243788.27000000002</v>
      </c>
      <c r="F14" s="40"/>
      <c r="G14" s="63"/>
      <c r="H14" s="63"/>
    </row>
    <row r="15" spans="1:8" ht="92.25" customHeight="1" x14ac:dyDescent="0.2">
      <c r="A15" s="38" t="s">
        <v>11</v>
      </c>
      <c r="B15" s="38"/>
      <c r="C15" s="39">
        <f>C10+C11-C14</f>
        <v>135343.03999999998</v>
      </c>
      <c r="D15" s="40"/>
      <c r="E15" s="40">
        <v>0</v>
      </c>
      <c r="F15" s="40"/>
      <c r="G15" s="40"/>
      <c r="H15" s="40"/>
    </row>
    <row r="16" spans="1:8" ht="13.5" customHeight="1" x14ac:dyDescent="0.2">
      <c r="A16" s="52"/>
      <c r="B16" s="52"/>
      <c r="C16" s="24"/>
      <c r="D16" s="24"/>
      <c r="E16" s="24"/>
      <c r="F16" s="24"/>
      <c r="G16" s="24"/>
      <c r="H16" s="24"/>
    </row>
    <row r="17" spans="1:8" ht="12.75" customHeight="1" x14ac:dyDescent="0.2">
      <c r="A17" s="52"/>
      <c r="B17" s="52"/>
      <c r="C17" s="24"/>
      <c r="D17" s="24"/>
      <c r="E17" s="24"/>
      <c r="F17" s="24"/>
      <c r="G17" s="24"/>
      <c r="H17" s="24"/>
    </row>
    <row r="18" spans="1:8" ht="15.75" x14ac:dyDescent="0.2">
      <c r="A18" s="45" t="s">
        <v>9</v>
      </c>
      <c r="B18" s="45"/>
      <c r="C18" s="24"/>
      <c r="D18" s="24"/>
      <c r="E18" s="24"/>
      <c r="F18" s="24"/>
      <c r="G18" s="24"/>
      <c r="H18" s="24"/>
    </row>
    <row r="19" spans="1:8" ht="15.75" x14ac:dyDescent="0.2">
      <c r="A19" s="16"/>
      <c r="B19" s="16"/>
      <c r="C19" s="24"/>
      <c r="D19" s="24"/>
      <c r="E19" s="24"/>
      <c r="F19" s="24"/>
      <c r="G19" s="24"/>
      <c r="H19" s="24"/>
    </row>
    <row r="20" spans="1:8" ht="15.75" x14ac:dyDescent="0.2">
      <c r="A20" s="16"/>
      <c r="B20" s="16"/>
      <c r="C20" s="24"/>
      <c r="D20" s="24"/>
      <c r="E20" s="24"/>
      <c r="F20" s="24"/>
      <c r="G20" s="24"/>
      <c r="H20" s="24"/>
    </row>
    <row r="21" spans="1:8" ht="15.75" x14ac:dyDescent="0.2">
      <c r="A21" s="45"/>
      <c r="B21" s="45"/>
      <c r="C21" s="24"/>
      <c r="D21" s="24"/>
      <c r="E21" s="24"/>
      <c r="F21" s="24"/>
      <c r="G21" s="24"/>
      <c r="H21" s="24"/>
    </row>
    <row r="22" spans="1:8" ht="15.75" x14ac:dyDescent="0.2">
      <c r="A22" s="16"/>
      <c r="B22" s="16"/>
      <c r="C22" s="24"/>
      <c r="D22" s="24"/>
      <c r="E22" s="24"/>
      <c r="F22" s="24"/>
      <c r="G22" s="24"/>
      <c r="H22" s="24"/>
    </row>
    <row r="23" spans="1:8" ht="15.75" x14ac:dyDescent="0.2">
      <c r="A23" s="45" t="s">
        <v>10</v>
      </c>
      <c r="B23" s="45"/>
      <c r="C23" s="45"/>
      <c r="D23" s="45"/>
      <c r="E23" s="24"/>
      <c r="F23" s="24"/>
      <c r="G23" s="24"/>
      <c r="H23" s="24"/>
    </row>
    <row r="24" spans="1:8" ht="15.75" x14ac:dyDescent="0.2">
      <c r="A24" s="16"/>
      <c r="B24" s="16"/>
      <c r="C24" s="24"/>
      <c r="D24" s="24"/>
      <c r="E24" s="24"/>
      <c r="F24" s="24"/>
      <c r="G24" s="24"/>
      <c r="H24" s="24"/>
    </row>
    <row r="25" spans="1:8" ht="15.75" x14ac:dyDescent="0.2">
      <c r="A25" s="45" t="s">
        <v>29</v>
      </c>
      <c r="B25" s="45"/>
      <c r="C25" s="24"/>
      <c r="D25" s="24"/>
      <c r="E25" s="24"/>
      <c r="F25" s="24"/>
      <c r="G25" s="24"/>
      <c r="H25" s="2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3" sqref="C13:D1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46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109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189975.98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79779.929999999993</v>
      </c>
      <c r="D11" s="40"/>
      <c r="E11" s="39">
        <f>81530.03+128780.28</f>
        <v>210310.31</v>
      </c>
      <c r="F11" s="40"/>
      <c r="G11" s="40"/>
      <c r="H11" s="40"/>
    </row>
    <row r="12" spans="1:8" ht="15.75" x14ac:dyDescent="0.2">
      <c r="A12" s="38" t="s">
        <v>4</v>
      </c>
      <c r="B12" s="38"/>
      <c r="C12" s="39">
        <f>292189.66-210310.31</f>
        <v>81879.349999999977</v>
      </c>
      <c r="D12" s="40"/>
      <c r="E12" s="39">
        <f>E11</f>
        <v>210310.31</v>
      </c>
      <c r="F12" s="40"/>
      <c r="G12" s="40"/>
      <c r="H12" s="40"/>
    </row>
    <row r="13" spans="1:8" ht="47.25" customHeight="1" x14ac:dyDescent="0.2">
      <c r="A13" s="38" t="s">
        <v>5</v>
      </c>
      <c r="B13" s="38"/>
      <c r="C13" s="39">
        <v>137534.93</v>
      </c>
      <c r="D13" s="40"/>
      <c r="E13" s="40">
        <v>0</v>
      </c>
      <c r="F13" s="40"/>
      <c r="G13" s="40"/>
      <c r="H13" s="40"/>
    </row>
    <row r="14" spans="1:8" ht="33" customHeight="1" x14ac:dyDescent="0.2">
      <c r="A14" s="38" t="s">
        <v>6</v>
      </c>
      <c r="B14" s="38"/>
      <c r="C14" s="39">
        <v>33842</v>
      </c>
      <c r="D14" s="40"/>
      <c r="E14" s="39">
        <f>E12</f>
        <v>210310.31</v>
      </c>
      <c r="F14" s="40"/>
      <c r="G14" s="40"/>
      <c r="H14" s="40"/>
    </row>
    <row r="15" spans="1:8" ht="92.25" customHeight="1" x14ac:dyDescent="0.2">
      <c r="A15" s="38" t="s">
        <v>11</v>
      </c>
      <c r="B15" s="38"/>
      <c r="C15" s="39">
        <f>C10+C11-C14</f>
        <v>235913.91000000003</v>
      </c>
      <c r="D15" s="40"/>
      <c r="E15" s="40">
        <v>0</v>
      </c>
      <c r="F15" s="40"/>
      <c r="G15" s="40"/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A7" sqref="A7:H7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47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110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3"/>
      <c r="B9" s="53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39">
        <v>273360.26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82294.41</v>
      </c>
      <c r="D11" s="40"/>
      <c r="E11" s="39">
        <f>140667.3+134158.89</f>
        <v>274826.19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348541.48-274826.19</f>
        <v>73715.289999999979</v>
      </c>
      <c r="D12" s="40"/>
      <c r="E12" s="39">
        <f>E11</f>
        <v>274826.19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250935.77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67217</v>
      </c>
      <c r="D14" s="40"/>
      <c r="E14" s="39">
        <f>E12</f>
        <v>274826.19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288437.67000000004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H26"/>
  <sheetViews>
    <sheetView view="pageBreakPreview" topLeftCell="A7" zoomScale="90" zoomScaleNormal="85" zoomScaleSheetLayoutView="90" workbookViewId="0">
      <selection activeCell="E6" sqref="E6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48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111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48">
        <v>-142720.47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45039.13</v>
      </c>
      <c r="D11" s="40"/>
      <c r="E11" s="39">
        <f>51235.45+54606.9</f>
        <v>105842.35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192057.33-105842.35</f>
        <v>86214.979999999981</v>
      </c>
      <c r="D12" s="40"/>
      <c r="E12" s="39">
        <f>E11</f>
        <v>105842.35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17882.62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0</v>
      </c>
      <c r="D14" s="40"/>
      <c r="E14" s="39">
        <f>E12</f>
        <v>105842.35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-97681.34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  <row r="26" spans="1:8" x14ac:dyDescent="0.2">
      <c r="A26" s="12"/>
      <c r="B26" s="12"/>
      <c r="C26" s="12"/>
      <c r="D26" s="12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49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112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14164.86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65098.55</v>
      </c>
      <c r="D11" s="40"/>
      <c r="E11" s="39">
        <f>66878.65+70438.8</f>
        <v>137317.45000000001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203574.73-137317.45</f>
        <v>66257.279999999999</v>
      </c>
      <c r="D12" s="40"/>
      <c r="E12" s="39">
        <f>E11</f>
        <v>137317.45000000001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118075.25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49788.57</v>
      </c>
      <c r="D14" s="40"/>
      <c r="E14" s="39">
        <f>E12</f>
        <v>137317.45000000001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29474.840000000004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A3" sqref="A3:H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51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113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104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-173604.25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63710.19</v>
      </c>
      <c r="D11" s="40"/>
      <c r="E11" s="39">
        <f>132973.5+138552.45+25280.1+26800.45</f>
        <v>323606.5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351506.19-323606.5</f>
        <v>27899.690000000002</v>
      </c>
      <c r="D12" s="40"/>
      <c r="E12" s="39">
        <f>E11</f>
        <v>323606.5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338721.73</v>
      </c>
      <c r="D13" s="40"/>
      <c r="E13" s="39">
        <f>E11-E12</f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143634.01</v>
      </c>
      <c r="D14" s="40"/>
      <c r="E14" s="39">
        <f>E12</f>
        <v>323606.5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-253528.07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16" t="s">
        <v>29</v>
      </c>
      <c r="B25" s="16"/>
      <c r="C25" s="14"/>
      <c r="D25" s="14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G15:H15"/>
    <mergeCell ref="A14:B14"/>
    <mergeCell ref="C14:D14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52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114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-469975.58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153810.03</v>
      </c>
      <c r="D11" s="40"/>
      <c r="E11" s="39">
        <f>34828.47+35543.4+185828.7+186955.41</f>
        <v>443155.98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605630.1-443155.98</f>
        <v>162474.12</v>
      </c>
      <c r="D12" s="40"/>
      <c r="E12" s="39">
        <f>E11</f>
        <v>443155.98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113465.14</v>
      </c>
      <c r="D13" s="40"/>
      <c r="E13" s="40" t="s">
        <v>53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140394</v>
      </c>
      <c r="D14" s="40"/>
      <c r="E14" s="39">
        <f>E12</f>
        <v>443155.98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-456559.55000000005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52"/>
      <c r="B16" s="52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H30"/>
  <sheetViews>
    <sheetView view="pageBreakPreview" topLeftCell="A10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  <col min="4" max="4" width="9.42578125" customWidth="1"/>
  </cols>
  <sheetData>
    <row r="1" spans="1:8" ht="15.75" x14ac:dyDescent="0.2">
      <c r="A1" s="44" t="s">
        <v>54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100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14"/>
      <c r="B3" s="14"/>
      <c r="C3" s="17"/>
      <c r="D3" s="17" t="s">
        <v>94</v>
      </c>
      <c r="E3" s="14"/>
      <c r="F3" s="14"/>
      <c r="G3" s="14"/>
      <c r="H3" s="1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55</v>
      </c>
      <c r="B10" s="47"/>
      <c r="C10" s="48">
        <v>-68567.25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176302.54</v>
      </c>
      <c r="D11" s="40"/>
      <c r="E11" s="39">
        <f>176883.24+131485.45</f>
        <v>308368.69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457415.36-308368.69</f>
        <v>149046.66999999998</v>
      </c>
      <c r="D12" s="40"/>
      <c r="E12" s="39">
        <f>E11</f>
        <v>308368.69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251028.86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409140</v>
      </c>
      <c r="D14" s="40"/>
      <c r="E14" s="39">
        <f>E12</f>
        <v>308368.69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-301404.70999999996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5">
      <c r="A27" s="62"/>
      <c r="B27" s="62"/>
      <c r="C27" s="62"/>
      <c r="D27" s="62"/>
      <c r="E27" s="62"/>
      <c r="F27" s="62"/>
      <c r="G27" s="62"/>
      <c r="H27" s="5"/>
    </row>
    <row r="28" spans="1:8" ht="15.75" x14ac:dyDescent="0.25">
      <c r="A28" s="62"/>
      <c r="B28" s="62"/>
      <c r="C28" s="62"/>
      <c r="D28" s="62"/>
      <c r="E28" s="62"/>
      <c r="F28" s="62"/>
      <c r="G28" s="11"/>
      <c r="H28" s="5"/>
    </row>
    <row r="29" spans="1:8" ht="15.75" x14ac:dyDescent="0.25">
      <c r="A29" s="5"/>
      <c r="B29" s="5"/>
      <c r="C29" s="5"/>
      <c r="D29" s="5"/>
      <c r="E29" s="5"/>
      <c r="F29" s="5"/>
      <c r="G29" s="5"/>
      <c r="H29" s="5"/>
    </row>
    <row r="30" spans="1:8" ht="15.75" x14ac:dyDescent="0.25">
      <c r="A30" s="5"/>
      <c r="B30" s="5"/>
      <c r="C30" s="5"/>
      <c r="D30" s="5"/>
      <c r="E30" s="5"/>
      <c r="F30" s="5"/>
      <c r="G30" s="5"/>
      <c r="H30" s="5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F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H29"/>
  <sheetViews>
    <sheetView view="pageBreakPreview" topLeftCell="A7" zoomScale="85" zoomScaleNormal="100" zoomScaleSheetLayoutView="85" workbookViewId="0">
      <selection activeCell="C14" sqref="C14:D14"/>
    </sheetView>
  </sheetViews>
  <sheetFormatPr defaultRowHeight="12.75" x14ac:dyDescent="0.2"/>
  <cols>
    <col min="2" max="2" width="25.85546875" customWidth="1"/>
    <col min="4" max="4" width="8.5703125" customWidth="1"/>
    <col min="6" max="6" width="7.5703125" customWidth="1"/>
    <col min="8" max="8" width="8.28515625" customWidth="1"/>
  </cols>
  <sheetData>
    <row r="1" spans="1:8" ht="15.75" x14ac:dyDescent="0.2">
      <c r="A1" s="44" t="s">
        <v>33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96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-145552.07999999999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178446.16</f>
        <v>178446.16</v>
      </c>
      <c r="D11" s="40"/>
      <c r="E11" s="39">
        <f>294845.25+309421.73</f>
        <v>604266.98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795819.56-604266.98</f>
        <v>191552.58000000007</v>
      </c>
      <c r="D12" s="40"/>
      <c r="E12" s="39">
        <f>E11</f>
        <v>604266.98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249744.38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441421</v>
      </c>
      <c r="D14" s="40"/>
      <c r="E14" s="39">
        <f>E12</f>
        <v>604266.98</v>
      </c>
      <c r="F14" s="40"/>
      <c r="G14" s="40">
        <v>0</v>
      </c>
      <c r="H14" s="40"/>
    </row>
    <row r="15" spans="1:8" ht="92.25" customHeight="1" x14ac:dyDescent="0.2">
      <c r="A15" s="46" t="s">
        <v>88</v>
      </c>
      <c r="B15" s="47"/>
      <c r="C15" s="39">
        <f>C10+C11-C14</f>
        <v>-408526.92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45" t="s">
        <v>10</v>
      </c>
      <c r="B20" s="45"/>
      <c r="C20" s="45"/>
      <c r="D20" s="45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45" t="s">
        <v>29</v>
      </c>
      <c r="B22" s="45"/>
      <c r="C22" s="16"/>
      <c r="D22" s="16"/>
      <c r="E22" s="14"/>
      <c r="F22" s="14"/>
      <c r="G22" s="14"/>
      <c r="H22" s="14"/>
    </row>
    <row r="23" spans="1:8" ht="15.75" x14ac:dyDescent="0.2">
      <c r="A23" s="14"/>
      <c r="B23" s="14"/>
      <c r="C23" s="14"/>
      <c r="D23" s="14"/>
      <c r="E23" s="14"/>
      <c r="F23" s="14"/>
      <c r="G23" s="14"/>
      <c r="H23" s="14"/>
    </row>
    <row r="24" spans="1:8" ht="15.75" x14ac:dyDescent="0.2">
      <c r="A24" s="35"/>
      <c r="B24" s="35"/>
      <c r="C24" s="35"/>
      <c r="D24" s="35"/>
      <c r="E24" s="35"/>
      <c r="F24" s="35"/>
      <c r="G24" s="35"/>
      <c r="H24" s="35"/>
    </row>
    <row r="25" spans="1:8" ht="15.75" x14ac:dyDescent="0.2">
      <c r="A25" s="35"/>
      <c r="B25" s="35"/>
      <c r="C25" s="35"/>
      <c r="D25" s="35"/>
      <c r="E25" s="35"/>
      <c r="F25" s="35"/>
      <c r="G25" s="35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" x14ac:dyDescent="0.2">
      <c r="A27" s="13"/>
      <c r="B27" s="13"/>
      <c r="C27" s="13"/>
      <c r="D27" s="13"/>
      <c r="E27" s="13"/>
      <c r="F27" s="13"/>
      <c r="G27" s="13"/>
      <c r="H27" s="15"/>
    </row>
    <row r="28" spans="1:8" s="1" customFormat="1" ht="14.25" x14ac:dyDescent="0.2"/>
    <row r="29" spans="1:8" s="1" customFormat="1" ht="14.25" x14ac:dyDescent="0.2">
      <c r="C29" s="4"/>
      <c r="D29" s="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G25"/>
    <mergeCell ref="A16:B16"/>
    <mergeCell ref="A17:B17"/>
    <mergeCell ref="A18:B18"/>
    <mergeCell ref="A20:D20"/>
    <mergeCell ref="A22:B22"/>
    <mergeCell ref="A24:H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H26"/>
  <sheetViews>
    <sheetView view="pageBreakPreview" topLeftCell="A7" zoomScale="90" zoomScaleNormal="85" zoomScaleSheetLayoutView="90" workbookViewId="0">
      <selection activeCell="C14" sqref="C14:D1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56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115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224403.07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163489.28</v>
      </c>
      <c r="D11" s="40"/>
      <c r="E11" s="39">
        <f>201297.54+209408.94</f>
        <v>410706.48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578880.49-410706.48</f>
        <v>168174.01</v>
      </c>
      <c r="D12" s="40"/>
      <c r="E12" s="39">
        <f>E11</f>
        <v>410706.48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108098.88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362236.87</v>
      </c>
      <c r="D14" s="40"/>
      <c r="E14" s="39">
        <f>E12</f>
        <v>410706.48</v>
      </c>
      <c r="F14" s="40"/>
      <c r="G14" s="40">
        <v>0</v>
      </c>
      <c r="H14" s="40"/>
    </row>
    <row r="15" spans="1:8" ht="92.25" customHeight="1" x14ac:dyDescent="0.2">
      <c r="A15" s="38" t="s">
        <v>85</v>
      </c>
      <c r="B15" s="38"/>
      <c r="C15" s="39">
        <f>C10+C11-C14</f>
        <v>25655.479999999981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45"/>
      <c r="B20" s="45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45"/>
      <c r="B22" s="45"/>
      <c r="C22" s="16"/>
      <c r="D22" s="16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45" t="s">
        <v>10</v>
      </c>
      <c r="B24" s="45"/>
      <c r="C24" s="45"/>
      <c r="D24" s="45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45" t="s">
        <v>29</v>
      </c>
      <c r="B26" s="45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H31"/>
  <sheetViews>
    <sheetView view="pageBreakPreview" topLeftCell="A7" zoomScale="90" zoomScaleNormal="85" zoomScaleSheetLayoutView="90" workbookViewId="0">
      <selection activeCell="C16" sqref="C16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57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116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48">
        <v>-270903.81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127621</v>
      </c>
      <c r="D11" s="40"/>
      <c r="E11" s="39">
        <f>189713.82+238854.74</f>
        <v>428568.56</v>
      </c>
      <c r="F11" s="40"/>
      <c r="G11" s="40"/>
      <c r="H11" s="40"/>
    </row>
    <row r="12" spans="1:8" ht="15.75" x14ac:dyDescent="0.2">
      <c r="A12" s="38" t="s">
        <v>4</v>
      </c>
      <c r="B12" s="38"/>
      <c r="C12" s="39">
        <f>557086.29-428568.56</f>
        <v>128517.73000000004</v>
      </c>
      <c r="D12" s="40"/>
      <c r="E12" s="39">
        <f>E11</f>
        <v>428568.56</v>
      </c>
      <c r="F12" s="40"/>
      <c r="G12" s="40"/>
      <c r="H12" s="40"/>
    </row>
    <row r="13" spans="1:8" ht="47.25" customHeight="1" x14ac:dyDescent="0.2">
      <c r="A13" s="38" t="s">
        <v>5</v>
      </c>
      <c r="B13" s="38"/>
      <c r="C13" s="39">
        <v>222492.29</v>
      </c>
      <c r="D13" s="40"/>
      <c r="E13" s="40">
        <v>0</v>
      </c>
      <c r="F13" s="40"/>
      <c r="G13" s="40"/>
      <c r="H13" s="40"/>
    </row>
    <row r="14" spans="1:8" ht="33" customHeight="1" x14ac:dyDescent="0.2">
      <c r="A14" s="38" t="s">
        <v>6</v>
      </c>
      <c r="B14" s="38"/>
      <c r="C14" s="39">
        <v>333621</v>
      </c>
      <c r="D14" s="40"/>
      <c r="E14" s="39">
        <f>E11</f>
        <v>428568.56</v>
      </c>
      <c r="F14" s="40"/>
      <c r="G14" s="40"/>
      <c r="H14" s="40"/>
    </row>
    <row r="15" spans="1:8" ht="92.25" customHeight="1" x14ac:dyDescent="0.2">
      <c r="A15" s="38" t="s">
        <v>11</v>
      </c>
      <c r="B15" s="38"/>
      <c r="C15" s="39">
        <f>C10+C11-C14</f>
        <v>-476903.81</v>
      </c>
      <c r="D15" s="40"/>
      <c r="E15" s="40">
        <v>0</v>
      </c>
      <c r="F15" s="40"/>
      <c r="G15" s="40"/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45" t="s">
        <v>10</v>
      </c>
      <c r="B22" s="45"/>
      <c r="C22" s="45"/>
      <c r="D22" s="45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45" t="s">
        <v>31</v>
      </c>
      <c r="B24" s="45"/>
      <c r="C24" s="16"/>
      <c r="D24" s="16"/>
      <c r="E24" s="14"/>
      <c r="F24" s="14"/>
      <c r="G24" s="14"/>
      <c r="H24" s="14"/>
    </row>
    <row r="25" spans="1:8" ht="15.75" x14ac:dyDescent="0.2">
      <c r="A25" s="14"/>
      <c r="B25" s="14"/>
      <c r="C25" s="14"/>
      <c r="D25" s="14"/>
      <c r="E25" s="14"/>
      <c r="F25" s="14"/>
      <c r="G25" s="14"/>
      <c r="H25" s="14"/>
    </row>
    <row r="26" spans="1:8" ht="15.75" x14ac:dyDescent="0.2">
      <c r="A26" s="14"/>
      <c r="B26" s="14"/>
      <c r="C26" s="14"/>
      <c r="D26" s="14"/>
      <c r="E26" s="14"/>
      <c r="F26" s="14"/>
      <c r="G26" s="14"/>
      <c r="H26" s="14"/>
    </row>
    <row r="27" spans="1:8" ht="15.75" x14ac:dyDescent="0.2">
      <c r="A27" s="35"/>
      <c r="B27" s="35"/>
      <c r="C27" s="35"/>
      <c r="D27" s="35"/>
      <c r="E27" s="35"/>
      <c r="F27" s="35"/>
      <c r="G27" s="35"/>
      <c r="H27" s="35"/>
    </row>
    <row r="28" spans="1:8" ht="15.75" x14ac:dyDescent="0.2">
      <c r="A28" s="35"/>
      <c r="B28" s="35"/>
      <c r="C28" s="35"/>
      <c r="D28" s="35"/>
      <c r="E28" s="35"/>
      <c r="F28" s="35"/>
      <c r="G28" s="35"/>
      <c r="H28" s="14"/>
    </row>
    <row r="29" spans="1:8" ht="15.75" x14ac:dyDescent="0.2">
      <c r="A29" s="14"/>
      <c r="B29" s="14"/>
      <c r="C29" s="14"/>
      <c r="D29" s="14"/>
      <c r="E29" s="14"/>
      <c r="F29" s="14"/>
      <c r="G29" s="14"/>
      <c r="H29" s="14"/>
    </row>
    <row r="30" spans="1:8" ht="15.75" x14ac:dyDescent="0.2">
      <c r="A30" s="35"/>
      <c r="B30" s="35"/>
      <c r="C30" s="35"/>
      <c r="D30" s="35"/>
      <c r="E30" s="35"/>
      <c r="F30" s="35"/>
      <c r="G30" s="14"/>
      <c r="H30" s="14"/>
    </row>
    <row r="31" spans="1:8" ht="15.75" x14ac:dyDescent="0.2">
      <c r="A31" s="35"/>
      <c r="B31" s="35"/>
      <c r="C31" s="35"/>
      <c r="D31" s="35"/>
      <c r="E31" s="35"/>
      <c r="F31" s="35"/>
      <c r="G31" s="14"/>
      <c r="H31" s="14"/>
    </row>
  </sheetData>
  <mergeCells count="42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30:F30"/>
    <mergeCell ref="A31:F31"/>
    <mergeCell ref="A16:B16"/>
    <mergeCell ref="A17:B17"/>
    <mergeCell ref="A18:B18"/>
    <mergeCell ref="A22:D22"/>
    <mergeCell ref="A24:B24"/>
    <mergeCell ref="A27:H27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C000"/>
  </sheetPr>
  <dimension ref="A1:H26"/>
  <sheetViews>
    <sheetView view="pageBreakPreview" topLeftCell="A8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58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117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55</v>
      </c>
      <c r="B10" s="47"/>
      <c r="C10" s="48">
        <v>154240.28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181883.72</v>
      </c>
      <c r="D11" s="40"/>
      <c r="E11" s="39">
        <f>281789.8+147008.44</f>
        <v>428798.24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632214.26-428798.24</f>
        <v>203416.02000000002</v>
      </c>
      <c r="D12" s="40"/>
      <c r="E12" s="39">
        <f>E11</f>
        <v>428798.24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114153.79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343459</v>
      </c>
      <c r="D14" s="40"/>
      <c r="E14" s="39">
        <f>E11</f>
        <v>428798.24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-7335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45"/>
      <c r="B20" s="45"/>
      <c r="C20" s="16"/>
      <c r="D20" s="16"/>
      <c r="E20" s="14"/>
      <c r="F20" s="14"/>
      <c r="G20" s="14"/>
      <c r="H20" s="14"/>
    </row>
    <row r="21" spans="1:8" ht="15.75" x14ac:dyDescent="0.2">
      <c r="A21" s="16"/>
      <c r="B21" s="16"/>
      <c r="C21" s="16"/>
      <c r="D21" s="16"/>
      <c r="E21" s="14"/>
      <c r="F21" s="14"/>
      <c r="G21" s="14"/>
      <c r="H21" s="14"/>
    </row>
    <row r="22" spans="1:8" ht="15.75" x14ac:dyDescent="0.2">
      <c r="A22" s="45"/>
      <c r="B22" s="45"/>
      <c r="C22" s="16"/>
      <c r="D22" s="16"/>
      <c r="E22" s="14"/>
      <c r="F22" s="14"/>
      <c r="G22" s="14"/>
      <c r="H22" s="14"/>
    </row>
    <row r="23" spans="1:8" ht="15.75" x14ac:dyDescent="0.2">
      <c r="A23" s="16"/>
      <c r="B23" s="16"/>
      <c r="C23" s="16"/>
      <c r="D23" s="16"/>
      <c r="E23" s="14"/>
      <c r="F23" s="14"/>
      <c r="G23" s="14"/>
      <c r="H23" s="14"/>
    </row>
    <row r="24" spans="1:8" ht="15.75" x14ac:dyDescent="0.2">
      <c r="A24" s="45" t="s">
        <v>10</v>
      </c>
      <c r="B24" s="45"/>
      <c r="C24" s="45"/>
      <c r="D24" s="45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45" t="s">
        <v>31</v>
      </c>
      <c r="B26" s="45"/>
      <c r="C26" s="16"/>
      <c r="D26" s="16"/>
      <c r="E26" s="14"/>
      <c r="F26" s="14"/>
      <c r="G26" s="14"/>
      <c r="H26" s="14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H25"/>
  <sheetViews>
    <sheetView view="pageBreakPreview" topLeftCell="A7" zoomScale="90" zoomScaleNormal="100" zoomScaleSheetLayoutView="90" workbookViewId="0">
      <selection activeCell="E12" sqref="E12:F12"/>
    </sheetView>
  </sheetViews>
  <sheetFormatPr defaultRowHeight="12.75" x14ac:dyDescent="0.2"/>
  <cols>
    <col min="2" max="2" width="10.5703125" customWidth="1"/>
  </cols>
  <sheetData>
    <row r="1" spans="1:8" ht="15.75" x14ac:dyDescent="0.2">
      <c r="A1" s="44" t="s">
        <v>92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131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48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3.75" customHeight="1" x14ac:dyDescent="0.2">
      <c r="A10" s="46" t="s">
        <v>23</v>
      </c>
      <c r="B10" s="47"/>
      <c r="C10" s="39">
        <v>-104893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f>107630.15+116785+23377.5+24538.66</f>
        <v>272331.31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f>389027.6-124186.05</f>
        <v>264841.55</v>
      </c>
      <c r="F12" s="40"/>
      <c r="G12" s="40">
        <v>0</v>
      </c>
      <c r="H12" s="40"/>
    </row>
    <row r="13" spans="1:8" ht="82.5" customHeight="1" x14ac:dyDescent="0.2">
      <c r="A13" s="38" t="s">
        <v>5</v>
      </c>
      <c r="B13" s="38"/>
      <c r="C13" s="39">
        <f>97961.21-E13</f>
        <v>90471.45</v>
      </c>
      <c r="D13" s="40"/>
      <c r="E13" s="39">
        <f>E11-E12</f>
        <v>7489.7600000000093</v>
      </c>
      <c r="F13" s="40"/>
      <c r="G13" s="40">
        <v>0</v>
      </c>
      <c r="H13" s="40"/>
    </row>
    <row r="14" spans="1:8" ht="47.25" customHeight="1" x14ac:dyDescent="0.2">
      <c r="A14" s="38" t="s">
        <v>6</v>
      </c>
      <c r="B14" s="38"/>
      <c r="C14" s="39">
        <v>71927</v>
      </c>
      <c r="D14" s="40"/>
      <c r="E14" s="39">
        <f>E11</f>
        <v>272331.31</v>
      </c>
      <c r="F14" s="40"/>
      <c r="G14" s="40">
        <v>0</v>
      </c>
      <c r="H14" s="40"/>
    </row>
    <row r="15" spans="1:8" ht="133.5" customHeight="1" x14ac:dyDescent="0.2">
      <c r="A15" s="38" t="s">
        <v>11</v>
      </c>
      <c r="B15" s="38"/>
      <c r="C15" s="39">
        <f>C10+C11-C14</f>
        <v>-176820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20"/>
      <c r="D16" s="20"/>
      <c r="E16" s="20"/>
      <c r="F16" s="20"/>
      <c r="G16" s="20"/>
      <c r="H16" s="20"/>
    </row>
    <row r="17" spans="1:8" ht="15.75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35" t="s">
        <v>9</v>
      </c>
      <c r="B18" s="35"/>
      <c r="C18" s="20"/>
      <c r="D18" s="20"/>
      <c r="E18" s="20"/>
      <c r="F18" s="20"/>
      <c r="G18" s="20"/>
      <c r="H18" s="20"/>
    </row>
    <row r="19" spans="1:8" ht="15.75" x14ac:dyDescent="0.2">
      <c r="A19" s="20"/>
      <c r="B19" s="20"/>
      <c r="C19" s="20"/>
      <c r="D19" s="20"/>
      <c r="E19" s="20"/>
      <c r="F19" s="20"/>
      <c r="G19" s="20"/>
      <c r="H19" s="20"/>
    </row>
    <row r="20" spans="1:8" ht="15.75" x14ac:dyDescent="0.2">
      <c r="A20" s="20"/>
      <c r="B20" s="20"/>
      <c r="C20" s="20"/>
      <c r="D20" s="20"/>
      <c r="E20" s="20"/>
      <c r="F20" s="20"/>
      <c r="G20" s="20"/>
      <c r="H20" s="20"/>
    </row>
    <row r="21" spans="1:8" ht="15.75" x14ac:dyDescent="0.2">
      <c r="A21" s="35"/>
      <c r="B21" s="35"/>
      <c r="C21" s="20"/>
      <c r="D21" s="20"/>
      <c r="E21" s="20"/>
      <c r="F21" s="20"/>
      <c r="G21" s="20"/>
      <c r="H21" s="20"/>
    </row>
    <row r="22" spans="1:8" ht="15.75" x14ac:dyDescent="0.2">
      <c r="A22" s="20"/>
      <c r="B22" s="20"/>
      <c r="C22" s="20"/>
      <c r="D22" s="20"/>
      <c r="E22" s="20"/>
      <c r="F22" s="20"/>
      <c r="G22" s="20"/>
      <c r="H22" s="20"/>
    </row>
    <row r="23" spans="1:8" ht="15.75" x14ac:dyDescent="0.2">
      <c r="A23" s="35" t="s">
        <v>10</v>
      </c>
      <c r="B23" s="35"/>
      <c r="C23" s="35"/>
      <c r="D23" s="35"/>
      <c r="E23" s="20"/>
      <c r="F23" s="20"/>
      <c r="G23" s="20"/>
      <c r="H23" s="20"/>
    </row>
    <row r="24" spans="1:8" ht="15.75" x14ac:dyDescent="0.2">
      <c r="A24" s="20"/>
      <c r="B24" s="20"/>
      <c r="C24" s="20"/>
      <c r="D24" s="20"/>
      <c r="E24" s="20"/>
      <c r="F24" s="20"/>
      <c r="G24" s="20"/>
      <c r="H24" s="20"/>
    </row>
    <row r="25" spans="1:8" ht="15.75" x14ac:dyDescent="0.2">
      <c r="A25" s="35" t="s">
        <v>81</v>
      </c>
      <c r="B25" s="35"/>
      <c r="C25" s="20"/>
      <c r="D25" s="20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</sheetPr>
  <dimension ref="A1:H25"/>
  <sheetViews>
    <sheetView view="pageBreakPreview" topLeftCell="A10" zoomScale="90" zoomScaleNormal="100" zoomScaleSheetLayoutView="90" workbookViewId="0">
      <selection activeCell="C16" sqref="C16"/>
    </sheetView>
  </sheetViews>
  <sheetFormatPr defaultRowHeight="12.75" x14ac:dyDescent="0.2"/>
  <sheetData>
    <row r="1" spans="1:8" ht="15.75" x14ac:dyDescent="0.2">
      <c r="A1" s="44" t="s">
        <v>93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132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101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7.7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-43851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f>255116.79+276881.64+56193.01+58448.82</f>
        <v>646640.26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f>931627.34-289920.69</f>
        <v>641706.64999999991</v>
      </c>
      <c r="F12" s="40"/>
      <c r="G12" s="40">
        <v>0</v>
      </c>
      <c r="H12" s="40"/>
    </row>
    <row r="13" spans="1:8" ht="80.25" customHeight="1" x14ac:dyDescent="0.2">
      <c r="A13" s="38" t="s">
        <v>5</v>
      </c>
      <c r="B13" s="38"/>
      <c r="C13" s="39">
        <v>0</v>
      </c>
      <c r="D13" s="40"/>
      <c r="E13" s="39">
        <v>434836.93</v>
      </c>
      <c r="F13" s="40"/>
      <c r="G13" s="40">
        <v>0</v>
      </c>
      <c r="H13" s="40"/>
    </row>
    <row r="14" spans="1:8" ht="44.25" customHeight="1" x14ac:dyDescent="0.2">
      <c r="A14" s="38" t="s">
        <v>6</v>
      </c>
      <c r="B14" s="38"/>
      <c r="C14" s="39">
        <v>24449</v>
      </c>
      <c r="D14" s="40"/>
      <c r="E14" s="39">
        <f>E11</f>
        <v>646640.26</v>
      </c>
      <c r="F14" s="40"/>
      <c r="G14" s="40">
        <v>0</v>
      </c>
      <c r="H14" s="40"/>
    </row>
    <row r="15" spans="1:8" ht="139.5" customHeight="1" x14ac:dyDescent="0.2">
      <c r="A15" s="38" t="s">
        <v>11</v>
      </c>
      <c r="B15" s="38"/>
      <c r="C15" s="39">
        <f>C10+C11-C14</f>
        <v>-68300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20"/>
      <c r="D16" s="20"/>
      <c r="E16" s="20"/>
      <c r="F16" s="20"/>
      <c r="G16" s="20"/>
      <c r="H16" s="20"/>
    </row>
    <row r="17" spans="1:8" ht="15.75" x14ac:dyDescent="0.25">
      <c r="A17" s="61"/>
      <c r="B17" s="61"/>
      <c r="C17" s="5"/>
      <c r="D17" s="5"/>
      <c r="E17" s="5"/>
      <c r="F17" s="5"/>
      <c r="G17" s="5"/>
      <c r="H17" s="5"/>
    </row>
    <row r="18" spans="1:8" ht="15.75" x14ac:dyDescent="0.25">
      <c r="A18" s="62" t="s">
        <v>9</v>
      </c>
      <c r="B18" s="62"/>
      <c r="C18" s="5"/>
      <c r="D18" s="5"/>
      <c r="E18" s="5"/>
      <c r="F18" s="5"/>
      <c r="G18" s="5"/>
      <c r="H18" s="5"/>
    </row>
    <row r="19" spans="1:8" ht="15.75" x14ac:dyDescent="0.25">
      <c r="A19" s="22"/>
      <c r="B19" s="22"/>
      <c r="C19" s="5"/>
      <c r="D19" s="5"/>
      <c r="E19" s="5"/>
      <c r="F19" s="5"/>
      <c r="G19" s="5"/>
      <c r="H19" s="5"/>
    </row>
    <row r="20" spans="1:8" ht="15.75" x14ac:dyDescent="0.25">
      <c r="A20" s="22"/>
      <c r="B20" s="22"/>
      <c r="C20" s="5"/>
      <c r="D20" s="5"/>
      <c r="E20" s="5"/>
      <c r="F20" s="5"/>
      <c r="G20" s="5"/>
      <c r="H20" s="5"/>
    </row>
    <row r="21" spans="1:8" ht="15.75" x14ac:dyDescent="0.25">
      <c r="A21" s="62"/>
      <c r="B21" s="62"/>
      <c r="C21" s="5"/>
      <c r="D21" s="5"/>
      <c r="E21" s="5"/>
      <c r="F21" s="5"/>
      <c r="G21" s="5"/>
      <c r="H21" s="5"/>
    </row>
    <row r="22" spans="1:8" ht="15.75" x14ac:dyDescent="0.25">
      <c r="A22" s="22"/>
      <c r="B22" s="22"/>
      <c r="C22" s="5"/>
      <c r="D22" s="5"/>
      <c r="E22" s="5"/>
      <c r="F22" s="5"/>
      <c r="G22" s="5"/>
      <c r="H22" s="5"/>
    </row>
    <row r="23" spans="1:8" ht="15.75" x14ac:dyDescent="0.25">
      <c r="A23" s="62" t="s">
        <v>10</v>
      </c>
      <c r="B23" s="62"/>
      <c r="C23" s="62"/>
      <c r="D23" s="62"/>
      <c r="E23" s="5"/>
      <c r="F23" s="5"/>
      <c r="G23" s="5"/>
      <c r="H23" s="5"/>
    </row>
    <row r="24" spans="1:8" ht="15.75" x14ac:dyDescent="0.25">
      <c r="A24" s="22"/>
      <c r="B24" s="22"/>
      <c r="C24" s="5"/>
      <c r="D24" s="5"/>
      <c r="E24" s="5"/>
      <c r="F24" s="5"/>
      <c r="G24" s="5"/>
      <c r="H24" s="5"/>
    </row>
    <row r="25" spans="1:8" ht="15.75" x14ac:dyDescent="0.25">
      <c r="A25" s="62" t="s">
        <v>81</v>
      </c>
      <c r="B25" s="62"/>
      <c r="C25" s="5"/>
      <c r="D25" s="5"/>
      <c r="E25" s="5"/>
      <c r="F25" s="5"/>
      <c r="G25" s="5"/>
      <c r="H25" s="5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59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60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48">
        <v>-19275.919999999998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43238.879999999997</v>
      </c>
      <c r="D11" s="40"/>
      <c r="E11" s="39">
        <f>54016.38+51338.22</f>
        <v>105354.6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139850.42-E11</f>
        <v>34495.820000000007</v>
      </c>
      <c r="D12" s="40"/>
      <c r="E12" s="39">
        <f>E11</f>
        <v>105354.6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154311.78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5266.8</v>
      </c>
      <c r="D14" s="40"/>
      <c r="E14" s="39">
        <f>E11</f>
        <v>105354.6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18696.16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52"/>
      <c r="B16" s="52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9" sqref="C9:D9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61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62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48">
        <v>-23737.5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1993.31</v>
      </c>
      <c r="D11" s="40"/>
      <c r="E11" s="39">
        <f>28399.8+29447.76</f>
        <v>57847.56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58101.4-E11</f>
        <v>253.84000000000378</v>
      </c>
      <c r="D12" s="40"/>
      <c r="E12" s="39">
        <f>E11</f>
        <v>57847.56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27975.74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3160.08</v>
      </c>
      <c r="D14" s="40"/>
      <c r="E14" s="39">
        <f>E12</f>
        <v>57847.56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-24904.269999999997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A3" sqref="A3:H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118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48">
        <v>-112187.4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13468.08</v>
      </c>
      <c r="D11" s="40"/>
      <c r="E11" s="39">
        <f>16236.18+15431.28</f>
        <v>31667.46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38399.95-E11</f>
        <v>6732.489999999998</v>
      </c>
      <c r="D12" s="40"/>
      <c r="E12" s="39">
        <f>E11</f>
        <v>31667.46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27254.31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3157.72</v>
      </c>
      <c r="D14" s="40"/>
      <c r="E14" s="39">
        <f>E12</f>
        <v>31667.46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-101877.04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25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2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C000"/>
  </sheetPr>
  <dimension ref="A1:I25"/>
  <sheetViews>
    <sheetView view="pageBreakPreview" topLeftCell="A13" zoomScale="90" zoomScaleNormal="85" zoomScaleSheetLayoutView="90" workbookViewId="0">
      <selection activeCell="I14" sqref="I14"/>
    </sheetView>
  </sheetViews>
  <sheetFormatPr defaultRowHeight="12.75" x14ac:dyDescent="0.2"/>
  <cols>
    <col min="2" max="2" width="12" customWidth="1"/>
    <col min="4" max="4" width="14" customWidth="1"/>
  </cols>
  <sheetData>
    <row r="1" spans="1:9" ht="15.75" x14ac:dyDescent="0.2">
      <c r="A1" s="44" t="s">
        <v>24</v>
      </c>
      <c r="B1" s="44"/>
      <c r="C1" s="44"/>
      <c r="D1" s="44"/>
      <c r="E1" s="44"/>
      <c r="F1" s="44"/>
      <c r="G1" s="44"/>
      <c r="H1" s="44"/>
    </row>
    <row r="2" spans="1:9" ht="15.75" x14ac:dyDescent="0.2">
      <c r="A2" s="35" t="s">
        <v>102</v>
      </c>
      <c r="B2" s="35"/>
      <c r="C2" s="35"/>
      <c r="D2" s="35"/>
      <c r="E2" s="35"/>
      <c r="F2" s="35"/>
      <c r="G2" s="35"/>
      <c r="H2" s="35"/>
    </row>
    <row r="3" spans="1:9" ht="15.75" x14ac:dyDescent="0.2">
      <c r="A3" s="44" t="s">
        <v>95</v>
      </c>
      <c r="B3" s="44"/>
      <c r="C3" s="44"/>
      <c r="D3" s="44"/>
      <c r="E3" s="44"/>
      <c r="F3" s="44"/>
      <c r="G3" s="44"/>
      <c r="H3" s="44"/>
      <c r="I3" s="3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33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9" ht="15.75" x14ac:dyDescent="0.2">
      <c r="A6" s="14"/>
      <c r="B6" s="14"/>
      <c r="C6" s="14"/>
      <c r="D6" s="14"/>
      <c r="E6" s="14"/>
      <c r="F6" s="14"/>
      <c r="G6" s="14"/>
      <c r="H6" s="14"/>
    </row>
    <row r="7" spans="1:9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4.7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9" ht="30" customHeight="1" x14ac:dyDescent="0.2">
      <c r="A10" s="46" t="s">
        <v>23</v>
      </c>
      <c r="B10" s="47"/>
      <c r="C10" s="39">
        <v>177906.96</v>
      </c>
      <c r="D10" s="40"/>
      <c r="E10" s="50">
        <v>0</v>
      </c>
      <c r="F10" s="51"/>
      <c r="G10" s="50">
        <v>0</v>
      </c>
      <c r="H10" s="51"/>
    </row>
    <row r="11" spans="1:9" ht="25.5" customHeight="1" x14ac:dyDescent="0.2">
      <c r="A11" s="38" t="s">
        <v>3</v>
      </c>
      <c r="B11" s="38"/>
      <c r="C11" s="39">
        <f>109306.8+71880.68</f>
        <v>181187.47999999998</v>
      </c>
      <c r="D11" s="40"/>
      <c r="E11" s="39">
        <f>332555.14+705.66+35469.41+945.24+38102.95</f>
        <v>407778.39999999997</v>
      </c>
      <c r="F11" s="40"/>
      <c r="G11" s="40">
        <v>0</v>
      </c>
      <c r="H11" s="40"/>
    </row>
    <row r="12" spans="1:9" ht="25.5" customHeight="1" x14ac:dyDescent="0.2">
      <c r="A12" s="38" t="s">
        <v>4</v>
      </c>
      <c r="B12" s="38"/>
      <c r="C12" s="39">
        <f>772525.62-407778.4-178503.78</f>
        <v>186243.43999999997</v>
      </c>
      <c r="D12" s="40"/>
      <c r="E12" s="39">
        <f>E11</f>
        <v>407778.39999999997</v>
      </c>
      <c r="F12" s="40"/>
      <c r="G12" s="40">
        <v>0</v>
      </c>
      <c r="H12" s="40"/>
    </row>
    <row r="13" spans="1:9" ht="56.25" customHeight="1" x14ac:dyDescent="0.2">
      <c r="A13" s="38" t="s">
        <v>5</v>
      </c>
      <c r="B13" s="38"/>
      <c r="C13" s="39">
        <v>174479.68</v>
      </c>
      <c r="D13" s="40"/>
      <c r="E13" s="40" t="s">
        <v>53</v>
      </c>
      <c r="F13" s="40"/>
      <c r="G13" s="40">
        <v>0</v>
      </c>
      <c r="H13" s="40"/>
    </row>
    <row r="14" spans="1:9" ht="50.25" customHeight="1" x14ac:dyDescent="0.2">
      <c r="A14" s="38" t="s">
        <v>6</v>
      </c>
      <c r="B14" s="38"/>
      <c r="C14" s="39">
        <v>18324</v>
      </c>
      <c r="D14" s="40"/>
      <c r="E14" s="39">
        <f>E11</f>
        <v>407778.39999999997</v>
      </c>
      <c r="F14" s="40"/>
      <c r="G14" s="40">
        <v>0</v>
      </c>
      <c r="H14" s="40"/>
    </row>
    <row r="15" spans="1:9" ht="122.25" customHeight="1" x14ac:dyDescent="0.2">
      <c r="A15" s="38" t="s">
        <v>11</v>
      </c>
      <c r="B15" s="38"/>
      <c r="C15" s="39">
        <f>C10+C11-C14</f>
        <v>340770.43999999994</v>
      </c>
      <c r="D15" s="40"/>
      <c r="E15" s="40">
        <v>0</v>
      </c>
      <c r="F15" s="40"/>
      <c r="G15" s="40">
        <v>0</v>
      </c>
      <c r="H15" s="40"/>
    </row>
    <row r="16" spans="1:9" ht="15.75" x14ac:dyDescent="0.2">
      <c r="A16" s="36"/>
      <c r="B16" s="36"/>
      <c r="C16" s="14"/>
      <c r="D16" s="14"/>
      <c r="E16" s="14"/>
      <c r="F16" s="14"/>
      <c r="G16" s="14"/>
      <c r="H16" s="14"/>
    </row>
    <row r="17" spans="1:8" ht="15.75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C000"/>
  </sheetPr>
  <dimension ref="A1:H25"/>
  <sheetViews>
    <sheetView view="pageBreakPreview" topLeftCell="A10" zoomScale="90" zoomScaleNormal="85" zoomScaleSheetLayoutView="90" workbookViewId="0">
      <selection activeCell="C14" sqref="C14:D14"/>
    </sheetView>
  </sheetViews>
  <sheetFormatPr defaultRowHeight="12.75" x14ac:dyDescent="0.2"/>
  <cols>
    <col min="2" max="2" width="13.5703125" customWidth="1"/>
    <col min="4" max="4" width="12.7109375" customWidth="1"/>
  </cols>
  <sheetData>
    <row r="1" spans="1:8" ht="15.75" x14ac:dyDescent="0.2">
      <c r="A1" s="44" t="s">
        <v>25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106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14"/>
      <c r="B3" s="14"/>
      <c r="C3" s="17"/>
      <c r="D3" s="17" t="s">
        <v>95</v>
      </c>
      <c r="E3" s="14"/>
      <c r="F3" s="14"/>
      <c r="G3" s="14"/>
      <c r="H3" s="1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47.2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.75" customHeight="1" x14ac:dyDescent="0.2">
      <c r="A10" s="46" t="s">
        <v>23</v>
      </c>
      <c r="B10" s="47"/>
      <c r="C10" s="39">
        <v>-21216.16</v>
      </c>
      <c r="D10" s="40"/>
      <c r="E10" s="50"/>
      <c r="F10" s="51"/>
      <c r="G10" s="50">
        <v>0</v>
      </c>
      <c r="H10" s="51"/>
    </row>
    <row r="11" spans="1:8" ht="16.5" customHeight="1" x14ac:dyDescent="0.2">
      <c r="A11" s="38" t="s">
        <v>3</v>
      </c>
      <c r="B11" s="38"/>
      <c r="C11" s="39">
        <f>89049.4+256.05+150434.01</f>
        <v>239739.46000000002</v>
      </c>
      <c r="D11" s="40"/>
      <c r="E11" s="39">
        <f>236948.67+125595.03+50842.7+28271.03</f>
        <v>441657.43000000005</v>
      </c>
      <c r="F11" s="40"/>
      <c r="G11" s="40">
        <v>0</v>
      </c>
      <c r="H11" s="40"/>
    </row>
    <row r="12" spans="1:8" ht="15.75" customHeight="1" x14ac:dyDescent="0.2">
      <c r="A12" s="38" t="s">
        <v>4</v>
      </c>
      <c r="B12" s="38"/>
      <c r="C12" s="39">
        <f>756800.52-441657.43-176088.1</f>
        <v>139054.99000000002</v>
      </c>
      <c r="D12" s="40"/>
      <c r="E12" s="39">
        <f>E11</f>
        <v>441657.43000000005</v>
      </c>
      <c r="F12" s="40"/>
      <c r="G12" s="40">
        <v>0</v>
      </c>
      <c r="H12" s="40"/>
    </row>
    <row r="13" spans="1:8" ht="48" customHeight="1" x14ac:dyDescent="0.2">
      <c r="A13" s="38" t="s">
        <v>5</v>
      </c>
      <c r="B13" s="38"/>
      <c r="C13" s="39">
        <v>519431.74</v>
      </c>
      <c r="D13" s="40"/>
      <c r="E13" s="40">
        <v>0</v>
      </c>
      <c r="F13" s="40"/>
      <c r="G13" s="40">
        <v>0</v>
      </c>
      <c r="H13" s="40"/>
    </row>
    <row r="14" spans="1:8" ht="39" customHeight="1" x14ac:dyDescent="0.2">
      <c r="A14" s="46" t="s">
        <v>6</v>
      </c>
      <c r="B14" s="47"/>
      <c r="C14" s="39">
        <v>173869.33</v>
      </c>
      <c r="D14" s="40"/>
      <c r="E14" s="39">
        <f>E11</f>
        <v>441657.43000000005</v>
      </c>
      <c r="F14" s="40"/>
      <c r="G14" s="40">
        <v>0</v>
      </c>
      <c r="H14" s="40"/>
    </row>
    <row r="15" spans="1:8" ht="94.5" customHeight="1" x14ac:dyDescent="0.2">
      <c r="A15" s="46" t="s">
        <v>11</v>
      </c>
      <c r="B15" s="47"/>
      <c r="C15" s="39">
        <f>C10+C11-C14</f>
        <v>44653.97000000003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14"/>
      <c r="D16" s="14"/>
      <c r="E16" s="14"/>
      <c r="F16" s="14"/>
      <c r="G16" s="14"/>
      <c r="H16" s="14"/>
    </row>
    <row r="17" spans="1:8" ht="15.75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H30"/>
  <sheetViews>
    <sheetView view="pageBreakPreview" topLeftCell="A7" zoomScale="85" zoomScaleNormal="85" zoomScaleSheetLayoutView="85" workbookViewId="0">
      <selection activeCell="A2" sqref="A2:H2"/>
    </sheetView>
  </sheetViews>
  <sheetFormatPr defaultRowHeight="12.75" x14ac:dyDescent="0.2"/>
  <cols>
    <col min="1" max="1" width="9.140625" style="10"/>
    <col min="2" max="2" width="16.5703125" customWidth="1"/>
  </cols>
  <sheetData>
    <row r="1" spans="1:8" ht="15.75" x14ac:dyDescent="0.2">
      <c r="A1" s="44" t="s">
        <v>34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98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6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6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6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3"/>
      <c r="B9" s="53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-179106.55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124288.22</v>
      </c>
      <c r="D11" s="40"/>
      <c r="E11" s="39">
        <f>165455.37+123146.26</f>
        <v>288601.63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120619.82</v>
      </c>
      <c r="D12" s="40"/>
      <c r="E12" s="39">
        <f>E11</f>
        <v>288601.63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125447.66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114503</v>
      </c>
      <c r="D14" s="40"/>
      <c r="E14" s="39">
        <f>E12</f>
        <v>288601.63</v>
      </c>
      <c r="F14" s="40"/>
      <c r="G14" s="40">
        <v>0</v>
      </c>
      <c r="H14" s="40"/>
    </row>
    <row r="15" spans="1:8" ht="92.25" customHeight="1" x14ac:dyDescent="0.2">
      <c r="A15" s="38" t="s">
        <v>85</v>
      </c>
      <c r="B15" s="38"/>
      <c r="C15" s="39">
        <f>C10+C11-C14</f>
        <v>-169321.33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52"/>
      <c r="B16" s="52"/>
      <c r="C16" s="14"/>
      <c r="D16" s="14"/>
      <c r="E16" s="14"/>
      <c r="F16" s="14"/>
      <c r="G16" s="14"/>
      <c r="H16" s="14"/>
    </row>
    <row r="17" spans="1:8" ht="12.75" customHeight="1" x14ac:dyDescent="0.2">
      <c r="A17" s="52"/>
      <c r="B17" s="52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4"/>
      <c r="D18" s="14"/>
      <c r="E18" s="14"/>
      <c r="F18" s="14"/>
      <c r="G18" s="14"/>
      <c r="H18" s="14"/>
    </row>
    <row r="19" spans="1:8" ht="15.75" x14ac:dyDescent="0.2">
      <c r="A19" s="16"/>
      <c r="B19" s="16"/>
      <c r="C19" s="14"/>
      <c r="D19" s="14"/>
      <c r="E19" s="14"/>
      <c r="F19" s="14"/>
      <c r="G19" s="14"/>
      <c r="H19" s="14"/>
    </row>
    <row r="20" spans="1:8" ht="15.75" x14ac:dyDescent="0.2">
      <c r="A20" s="16"/>
      <c r="B20" s="16"/>
      <c r="C20" s="14"/>
      <c r="D20" s="14"/>
      <c r="E20" s="14"/>
      <c r="F20" s="14"/>
      <c r="G20" s="14"/>
      <c r="H20" s="14"/>
    </row>
    <row r="21" spans="1:8" ht="15.75" x14ac:dyDescent="0.2">
      <c r="A21" s="45"/>
      <c r="B21" s="45"/>
      <c r="C21" s="14"/>
      <c r="D21" s="14"/>
      <c r="E21" s="14"/>
      <c r="F21" s="14"/>
      <c r="G21" s="14"/>
      <c r="H21" s="14"/>
    </row>
    <row r="22" spans="1:8" ht="15.75" x14ac:dyDescent="0.2">
      <c r="A22" s="16"/>
      <c r="B22" s="14"/>
      <c r="C22" s="14"/>
      <c r="D22" s="14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  <row r="26" spans="1:8" ht="15.75" x14ac:dyDescent="0.2">
      <c r="A26" s="16"/>
      <c r="B26" s="14"/>
      <c r="C26" s="14"/>
      <c r="D26" s="14"/>
      <c r="E26" s="14"/>
      <c r="F26" s="14"/>
      <c r="G26" s="14"/>
      <c r="H26" s="14"/>
    </row>
    <row r="27" spans="1:8" ht="15.75" x14ac:dyDescent="0.2">
      <c r="A27" s="44"/>
      <c r="B27" s="44"/>
      <c r="C27" s="44"/>
      <c r="D27" s="44"/>
      <c r="E27" s="44"/>
      <c r="F27" s="44"/>
      <c r="G27" s="44"/>
      <c r="H27" s="44"/>
    </row>
    <row r="28" spans="1:8" ht="15.75" x14ac:dyDescent="0.2">
      <c r="A28" s="35"/>
      <c r="B28" s="35"/>
      <c r="C28" s="35"/>
      <c r="D28" s="35"/>
      <c r="E28" s="35"/>
      <c r="F28" s="35"/>
      <c r="G28" s="35"/>
      <c r="H28" s="35"/>
    </row>
    <row r="29" spans="1:8" x14ac:dyDescent="0.2">
      <c r="A29" s="19"/>
      <c r="B29" s="18"/>
      <c r="C29" s="18"/>
      <c r="D29" s="18"/>
      <c r="E29" s="18"/>
      <c r="F29" s="18"/>
      <c r="G29" s="18"/>
      <c r="H29" s="18"/>
    </row>
    <row r="30" spans="1:8" x14ac:dyDescent="0.2">
      <c r="A30" s="19"/>
      <c r="B30" s="18"/>
      <c r="C30" s="18"/>
      <c r="D30" s="18"/>
      <c r="E30" s="18"/>
      <c r="F30" s="18"/>
      <c r="G30" s="18"/>
      <c r="H30" s="18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H27"/>
    <mergeCell ref="A28:H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C000"/>
  </sheetPr>
  <dimension ref="A1:H25"/>
  <sheetViews>
    <sheetView view="pageBreakPreview" topLeftCell="A10" zoomScale="85" zoomScaleNormal="100" zoomScaleSheetLayoutView="85" workbookViewId="0">
      <selection activeCell="C14" sqref="C14:D14"/>
    </sheetView>
  </sheetViews>
  <sheetFormatPr defaultRowHeight="12.75" x14ac:dyDescent="0.2"/>
  <cols>
    <col min="2" max="2" width="14.7109375" customWidth="1"/>
  </cols>
  <sheetData>
    <row r="1" spans="1:8" ht="15.75" x14ac:dyDescent="0.2">
      <c r="A1" s="44" t="s">
        <v>64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103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14"/>
      <c r="B3" s="14"/>
      <c r="C3" s="17"/>
      <c r="D3" s="17" t="s">
        <v>95</v>
      </c>
      <c r="E3" s="14"/>
      <c r="F3" s="14"/>
      <c r="G3" s="14"/>
      <c r="H3" s="1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0.2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1.5" customHeight="1" x14ac:dyDescent="0.2">
      <c r="A10" s="66" t="s">
        <v>23</v>
      </c>
      <c r="B10" s="67"/>
      <c r="C10" s="39">
        <v>74685.36</v>
      </c>
      <c r="D10" s="40"/>
      <c r="E10" s="50" t="s">
        <v>53</v>
      </c>
      <c r="F10" s="51"/>
      <c r="G10" s="50">
        <v>0</v>
      </c>
      <c r="H10" s="51"/>
    </row>
    <row r="11" spans="1:8" ht="15.75" x14ac:dyDescent="0.2">
      <c r="A11" s="43" t="s">
        <v>3</v>
      </c>
      <c r="B11" s="43"/>
      <c r="C11" s="39">
        <v>189784.56</v>
      </c>
      <c r="D11" s="40"/>
      <c r="E11" s="39">
        <f>211002.42+246955.08+90017.16</f>
        <v>547974.66</v>
      </c>
      <c r="F11" s="40"/>
      <c r="G11" s="40">
        <v>0</v>
      </c>
      <c r="H11" s="40"/>
    </row>
    <row r="12" spans="1:8" ht="13.5" customHeight="1" x14ac:dyDescent="0.2">
      <c r="A12" s="43" t="s">
        <v>4</v>
      </c>
      <c r="B12" s="43"/>
      <c r="C12" s="39">
        <f>972243.11-547974.66-196345.92-17188.5</f>
        <v>210734.02999999994</v>
      </c>
      <c r="D12" s="40"/>
      <c r="E12" s="39">
        <f>E11</f>
        <v>547974.66</v>
      </c>
      <c r="F12" s="40"/>
      <c r="G12" s="40">
        <v>0</v>
      </c>
      <c r="H12" s="40"/>
    </row>
    <row r="13" spans="1:8" ht="57" customHeight="1" x14ac:dyDescent="0.2">
      <c r="A13" s="43" t="s">
        <v>5</v>
      </c>
      <c r="B13" s="43"/>
      <c r="C13" s="39">
        <v>396658.03</v>
      </c>
      <c r="D13" s="40"/>
      <c r="E13" s="40">
        <v>0</v>
      </c>
      <c r="F13" s="40"/>
      <c r="G13" s="40">
        <v>0</v>
      </c>
      <c r="H13" s="40"/>
    </row>
    <row r="14" spans="1:8" ht="44.25" customHeight="1" x14ac:dyDescent="0.2">
      <c r="A14" s="43" t="s">
        <v>6</v>
      </c>
      <c r="B14" s="43"/>
      <c r="C14" s="39">
        <v>122815</v>
      </c>
      <c r="D14" s="40"/>
      <c r="E14" s="39">
        <f>E11</f>
        <v>547974.66</v>
      </c>
      <c r="F14" s="40"/>
      <c r="G14" s="40">
        <v>0</v>
      </c>
      <c r="H14" s="40"/>
    </row>
    <row r="15" spans="1:8" ht="107.25" customHeight="1" x14ac:dyDescent="0.2">
      <c r="A15" s="43" t="s">
        <v>11</v>
      </c>
      <c r="B15" s="43"/>
      <c r="C15" s="39">
        <f>C10+C11-C14</f>
        <v>141654.91999999998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14"/>
      <c r="D16" s="14"/>
      <c r="E16" s="14"/>
      <c r="F16" s="14"/>
      <c r="G16" s="14"/>
      <c r="H16" s="14"/>
    </row>
    <row r="17" spans="1:8" ht="15.75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8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C000"/>
  </sheetPr>
  <dimension ref="A1:I25"/>
  <sheetViews>
    <sheetView view="pageBreakPreview" topLeftCell="A10" zoomScale="90" zoomScaleNormal="85" zoomScaleSheetLayoutView="90" workbookViewId="0">
      <selection activeCell="J17" sqref="J17"/>
    </sheetView>
  </sheetViews>
  <sheetFormatPr defaultRowHeight="12.75" x14ac:dyDescent="0.2"/>
  <cols>
    <col min="2" max="2" width="14.85546875" customWidth="1"/>
  </cols>
  <sheetData>
    <row r="1" spans="1:9" ht="15.75" x14ac:dyDescent="0.2">
      <c r="A1" s="44" t="s">
        <v>26</v>
      </c>
      <c r="B1" s="44"/>
      <c r="C1" s="44"/>
      <c r="D1" s="44"/>
      <c r="E1" s="44"/>
      <c r="F1" s="44"/>
      <c r="G1" s="44"/>
      <c r="H1" s="44"/>
    </row>
    <row r="2" spans="1:9" ht="15.75" x14ac:dyDescent="0.2">
      <c r="A2" s="35" t="s">
        <v>105</v>
      </c>
      <c r="B2" s="35"/>
      <c r="C2" s="35"/>
      <c r="D2" s="35"/>
      <c r="E2" s="35"/>
      <c r="F2" s="35"/>
      <c r="G2" s="35"/>
      <c r="H2" s="35"/>
    </row>
    <row r="3" spans="1:9" ht="15" customHeight="1" x14ac:dyDescent="0.2">
      <c r="A3" s="44" t="s">
        <v>104</v>
      </c>
      <c r="B3" s="44"/>
      <c r="C3" s="44"/>
      <c r="D3" s="44"/>
      <c r="E3" s="44"/>
      <c r="F3" s="44"/>
      <c r="G3" s="44"/>
      <c r="H3" s="44"/>
      <c r="I3" s="3"/>
    </row>
    <row r="4" spans="1:9" ht="15.75" x14ac:dyDescent="0.2">
      <c r="A4" s="14"/>
      <c r="B4" s="14"/>
      <c r="C4" s="14"/>
      <c r="D4" s="14"/>
      <c r="E4" s="14"/>
      <c r="F4" s="14"/>
      <c r="G4" s="14"/>
      <c r="H4" s="14"/>
    </row>
    <row r="5" spans="1:9" ht="1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9" ht="20.25" customHeight="1" x14ac:dyDescent="0.2">
      <c r="A6" s="36"/>
      <c r="B6" s="36"/>
      <c r="C6" s="36"/>
      <c r="D6" s="36"/>
      <c r="E6" s="36"/>
      <c r="F6" s="36"/>
      <c r="G6" s="36"/>
      <c r="H6" s="36"/>
    </row>
    <row r="7" spans="1:9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9" ht="15.75" x14ac:dyDescent="0.2">
      <c r="A8" s="14"/>
      <c r="B8" s="14"/>
      <c r="C8" s="14"/>
      <c r="D8" s="14"/>
      <c r="E8" s="14"/>
      <c r="F8" s="14"/>
      <c r="G8" s="14"/>
      <c r="H8" s="14"/>
    </row>
    <row r="9" spans="1:9" ht="51.7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9" ht="35.25" customHeight="1" x14ac:dyDescent="0.2">
      <c r="A10" s="46" t="s">
        <v>23</v>
      </c>
      <c r="B10" s="47"/>
      <c r="C10" s="39">
        <v>244915</v>
      </c>
      <c r="D10" s="40"/>
      <c r="E10" s="50"/>
      <c r="F10" s="51"/>
      <c r="G10" s="50">
        <v>0</v>
      </c>
      <c r="H10" s="51"/>
    </row>
    <row r="11" spans="1:9" ht="16.5" customHeight="1" x14ac:dyDescent="0.2">
      <c r="A11" s="38" t="s">
        <v>3</v>
      </c>
      <c r="B11" s="38"/>
      <c r="C11" s="39">
        <v>300178.65000000002</v>
      </c>
      <c r="D11" s="40"/>
      <c r="E11" s="39">
        <f>344283.95+79929.08</f>
        <v>424213.03</v>
      </c>
      <c r="F11" s="40"/>
      <c r="G11" s="40">
        <v>0</v>
      </c>
      <c r="H11" s="40"/>
    </row>
    <row r="12" spans="1:9" ht="15.75" x14ac:dyDescent="0.2">
      <c r="A12" s="38" t="s">
        <v>4</v>
      </c>
      <c r="B12" s="38"/>
      <c r="C12" s="39">
        <f>819227.46-424213.03-183662.16</f>
        <v>211352.26999999993</v>
      </c>
      <c r="D12" s="40"/>
      <c r="E12" s="39">
        <f>E11</f>
        <v>424213.03</v>
      </c>
      <c r="F12" s="40"/>
      <c r="G12" s="40">
        <v>0</v>
      </c>
      <c r="H12" s="40"/>
    </row>
    <row r="13" spans="1:9" ht="48.75" customHeight="1" x14ac:dyDescent="0.2">
      <c r="A13" s="46" t="s">
        <v>5</v>
      </c>
      <c r="B13" s="47"/>
      <c r="C13" s="39">
        <v>360071.9</v>
      </c>
      <c r="D13" s="40"/>
      <c r="E13" s="40">
        <v>0</v>
      </c>
      <c r="F13" s="40"/>
      <c r="G13" s="40"/>
      <c r="H13" s="40"/>
    </row>
    <row r="14" spans="1:9" ht="48.75" customHeight="1" x14ac:dyDescent="0.2">
      <c r="A14" s="46" t="s">
        <v>6</v>
      </c>
      <c r="B14" s="47"/>
      <c r="C14" s="39">
        <v>153998.32</v>
      </c>
      <c r="D14" s="40"/>
      <c r="E14" s="39">
        <f>E12</f>
        <v>424213.03</v>
      </c>
      <c r="F14" s="40"/>
      <c r="G14" s="40">
        <v>0</v>
      </c>
      <c r="H14" s="40"/>
    </row>
    <row r="15" spans="1:9" ht="123" customHeight="1" x14ac:dyDescent="0.2">
      <c r="A15" s="46" t="s">
        <v>11</v>
      </c>
      <c r="B15" s="47"/>
      <c r="C15" s="39">
        <f>C10+C11-C14</f>
        <v>391095.33</v>
      </c>
      <c r="D15" s="40"/>
      <c r="E15" s="40">
        <v>0</v>
      </c>
      <c r="F15" s="40"/>
      <c r="G15" s="40">
        <v>0</v>
      </c>
      <c r="H15" s="40"/>
    </row>
    <row r="16" spans="1:9" ht="15.75" x14ac:dyDescent="0.2">
      <c r="A16" s="36"/>
      <c r="B16" s="36"/>
      <c r="C16" s="14"/>
      <c r="D16" s="14"/>
      <c r="E16" s="14"/>
      <c r="F16" s="14"/>
      <c r="G16" s="14"/>
      <c r="H16" s="14"/>
    </row>
    <row r="17" spans="1:8" ht="15.75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6"/>
      <c r="D18" s="16"/>
      <c r="E18" s="14"/>
      <c r="F18" s="14"/>
      <c r="G18" s="14"/>
      <c r="H18" s="14"/>
    </row>
    <row r="19" spans="1:8" ht="15.75" x14ac:dyDescent="0.2">
      <c r="A19" s="16"/>
      <c r="B19" s="16"/>
      <c r="C19" s="16"/>
      <c r="D19" s="16"/>
      <c r="E19" s="14"/>
      <c r="F19" s="14"/>
      <c r="G19" s="14"/>
      <c r="H19" s="14"/>
    </row>
    <row r="20" spans="1:8" ht="15.75" x14ac:dyDescent="0.2">
      <c r="A20" s="16"/>
      <c r="B20" s="16"/>
      <c r="C20" s="16"/>
      <c r="D20" s="16"/>
      <c r="E20" s="14"/>
      <c r="F20" s="14"/>
      <c r="G20" s="14"/>
      <c r="H20" s="14"/>
    </row>
    <row r="21" spans="1:8" ht="15.75" x14ac:dyDescent="0.2">
      <c r="A21" s="45"/>
      <c r="B21" s="45"/>
      <c r="C21" s="16"/>
      <c r="D21" s="16"/>
      <c r="E21" s="14"/>
      <c r="F21" s="14"/>
      <c r="G21" s="14"/>
      <c r="H21" s="14"/>
    </row>
    <row r="22" spans="1:8" ht="15.75" x14ac:dyDescent="0.2">
      <c r="A22" s="16"/>
      <c r="B22" s="16"/>
      <c r="C22" s="16"/>
      <c r="D22" s="16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4.25" x14ac:dyDescent="0.2">
      <c r="A25" s="68" t="s">
        <v>29</v>
      </c>
      <c r="B25" s="68"/>
      <c r="C25" s="10"/>
      <c r="D25" s="10"/>
    </row>
  </sheetData>
  <mergeCells count="39">
    <mergeCell ref="A1:H1"/>
    <mergeCell ref="A2:H2"/>
    <mergeCell ref="A7:H7"/>
    <mergeCell ref="A9:B9"/>
    <mergeCell ref="C9:D9"/>
    <mergeCell ref="E9:F9"/>
    <mergeCell ref="G9:H9"/>
    <mergeCell ref="A5:H6"/>
    <mergeCell ref="A10:B10"/>
    <mergeCell ref="C10:D10"/>
    <mergeCell ref="E10:F10"/>
    <mergeCell ref="G10:H10"/>
    <mergeCell ref="A11:B11"/>
    <mergeCell ref="C11:D11"/>
    <mergeCell ref="E11:F11"/>
    <mergeCell ref="G11:H11"/>
    <mergeCell ref="C12:D12"/>
    <mergeCell ref="E12:F12"/>
    <mergeCell ref="G12:H12"/>
    <mergeCell ref="A13:B13"/>
    <mergeCell ref="C13:D13"/>
    <mergeCell ref="E13:F13"/>
    <mergeCell ref="G13:H13"/>
    <mergeCell ref="A25:B25"/>
    <mergeCell ref="A3:H3"/>
    <mergeCell ref="A16:B16"/>
    <mergeCell ref="A17:B17"/>
    <mergeCell ref="A18:B18"/>
    <mergeCell ref="A21:B21"/>
    <mergeCell ref="A23:D23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C000"/>
  </sheetPr>
  <dimension ref="A1:H25"/>
  <sheetViews>
    <sheetView view="pageBreakPreview" topLeftCell="A8" zoomScale="90" zoomScaleNormal="100" zoomScaleSheetLayoutView="90" workbookViewId="0">
      <selection activeCell="C13" sqref="C13:D13"/>
    </sheetView>
  </sheetViews>
  <sheetFormatPr defaultRowHeight="12.75" x14ac:dyDescent="0.2"/>
  <cols>
    <col min="2" max="2" width="14.5703125" customWidth="1"/>
  </cols>
  <sheetData>
    <row r="1" spans="1:8" ht="15.75" x14ac:dyDescent="0.2">
      <c r="A1" s="44" t="s">
        <v>27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87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101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5.25" customHeight="1" x14ac:dyDescent="0.2">
      <c r="A5" s="36" t="s">
        <v>86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46.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289272.93</v>
      </c>
      <c r="D10" s="40"/>
      <c r="E10" s="50"/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118258.8+138130.38</f>
        <v>256389.18</v>
      </c>
      <c r="D11" s="40"/>
      <c r="E11" s="39">
        <f>169145.34+175693.09+39258.3+52586.88</f>
        <v>436683.61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874087.07-178333.09-E12</f>
        <v>259070.37</v>
      </c>
      <c r="D12" s="40"/>
      <c r="E12" s="39">
        <f>E11</f>
        <v>436683.61</v>
      </c>
      <c r="F12" s="40"/>
      <c r="G12" s="40">
        <v>0</v>
      </c>
      <c r="H12" s="40"/>
    </row>
    <row r="13" spans="1:8" ht="49.5" customHeight="1" x14ac:dyDescent="0.2">
      <c r="A13" s="38" t="s">
        <v>5</v>
      </c>
      <c r="B13" s="38"/>
      <c r="C13" s="39">
        <v>228287.41</v>
      </c>
      <c r="D13" s="40"/>
      <c r="E13" s="40">
        <v>0</v>
      </c>
      <c r="F13" s="40"/>
      <c r="G13" s="40">
        <v>0</v>
      </c>
      <c r="H13" s="40"/>
    </row>
    <row r="14" spans="1:8" ht="30.75" customHeight="1" x14ac:dyDescent="0.2">
      <c r="A14" s="38" t="s">
        <v>6</v>
      </c>
      <c r="B14" s="38"/>
      <c r="C14" s="39">
        <v>269910</v>
      </c>
      <c r="D14" s="40"/>
      <c r="E14" s="39">
        <f>E11</f>
        <v>436683.61</v>
      </c>
      <c r="F14" s="40"/>
      <c r="G14" s="40">
        <v>0</v>
      </c>
      <c r="H14" s="40"/>
    </row>
    <row r="15" spans="1:8" ht="96" customHeight="1" x14ac:dyDescent="0.2">
      <c r="A15" s="38" t="s">
        <v>11</v>
      </c>
      <c r="B15" s="38"/>
      <c r="C15" s="39">
        <f>C10+C11-C14</f>
        <v>275752.11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14"/>
      <c r="D16" s="14"/>
      <c r="E16" s="14"/>
      <c r="F16" s="14"/>
      <c r="G16" s="14"/>
      <c r="H16" s="14"/>
    </row>
    <row r="17" spans="1:8" ht="15.75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4"/>
      <c r="D18" s="14"/>
      <c r="E18" s="14"/>
      <c r="F18" s="14"/>
      <c r="G18" s="14"/>
      <c r="H18" s="14"/>
    </row>
    <row r="19" spans="1:8" ht="15.75" x14ac:dyDescent="0.2">
      <c r="A19" s="14"/>
      <c r="B19" s="14"/>
      <c r="C19" s="14"/>
      <c r="D19" s="14"/>
      <c r="E19" s="14"/>
      <c r="F19" s="14"/>
      <c r="G19" s="14"/>
      <c r="H19" s="14"/>
    </row>
    <row r="20" spans="1:8" ht="15.75" x14ac:dyDescent="0.2">
      <c r="A20" s="14"/>
      <c r="B20" s="14"/>
      <c r="C20" s="14"/>
      <c r="D20" s="14"/>
      <c r="E20" s="14"/>
      <c r="F20" s="14"/>
      <c r="G20" s="14"/>
      <c r="H20" s="14"/>
    </row>
    <row r="21" spans="1:8" ht="15.75" x14ac:dyDescent="0.2">
      <c r="A21" s="35"/>
      <c r="B21" s="35"/>
      <c r="C21" s="14"/>
      <c r="D21" s="14"/>
      <c r="E21" s="14"/>
      <c r="F21" s="14"/>
      <c r="G21" s="14"/>
      <c r="H21" s="14"/>
    </row>
    <row r="22" spans="1:8" ht="15.75" x14ac:dyDescent="0.2">
      <c r="A22" s="14"/>
      <c r="B22" s="14"/>
      <c r="C22" s="14"/>
      <c r="D22" s="14"/>
      <c r="E22" s="14"/>
      <c r="F22" s="14"/>
      <c r="G22" s="14"/>
      <c r="H22" s="14"/>
    </row>
    <row r="23" spans="1:8" ht="15.75" x14ac:dyDescent="0.2">
      <c r="A23" s="45" t="s">
        <v>10</v>
      </c>
      <c r="B23" s="45"/>
      <c r="C23" s="45"/>
      <c r="D23" s="45"/>
      <c r="E23" s="14"/>
      <c r="F23" s="14"/>
      <c r="G23" s="14"/>
      <c r="H23" s="14"/>
    </row>
    <row r="24" spans="1:8" ht="15.75" x14ac:dyDescent="0.2">
      <c r="A24" s="16"/>
      <c r="B24" s="16"/>
      <c r="C24" s="16"/>
      <c r="D24" s="16"/>
      <c r="E24" s="14"/>
      <c r="F24" s="14"/>
      <c r="G24" s="14"/>
      <c r="H24" s="14"/>
    </row>
    <row r="25" spans="1:8" ht="15.75" x14ac:dyDescent="0.2">
      <c r="A25" s="45" t="s">
        <v>29</v>
      </c>
      <c r="B25" s="45"/>
      <c r="C25" s="16"/>
      <c r="D25" s="16"/>
      <c r="E25" s="14"/>
      <c r="F25" s="14"/>
      <c r="G25" s="14"/>
      <c r="H25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A1:H25"/>
  <sheetViews>
    <sheetView view="pageBreakPreview" topLeftCell="A13" zoomScale="90" zoomScaleNormal="100" zoomScaleSheetLayoutView="90" workbookViewId="0">
      <selection activeCell="C15" sqref="C15:D15"/>
    </sheetView>
  </sheetViews>
  <sheetFormatPr defaultRowHeight="12.75" x14ac:dyDescent="0.2"/>
  <sheetData>
    <row r="1" spans="1:8" ht="15.75" x14ac:dyDescent="0.2">
      <c r="A1" s="44" t="s">
        <v>91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137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101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49.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5.25" customHeight="1" x14ac:dyDescent="0.2">
      <c r="A10" s="46" t="s">
        <v>23</v>
      </c>
      <c r="B10" s="47"/>
      <c r="C10" s="39">
        <v>5149.04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127210.8</v>
      </c>
      <c r="D11" s="40"/>
      <c r="E11" s="39">
        <v>250693.2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375543.18-E12</f>
        <v>124849.97999999998</v>
      </c>
      <c r="D12" s="40"/>
      <c r="E12" s="39">
        <f>E11</f>
        <v>250693.2</v>
      </c>
      <c r="F12" s="40"/>
      <c r="G12" s="40">
        <v>0</v>
      </c>
      <c r="H12" s="40"/>
    </row>
    <row r="13" spans="1:8" ht="75.75" customHeight="1" x14ac:dyDescent="0.2">
      <c r="A13" s="38" t="s">
        <v>5</v>
      </c>
      <c r="B13" s="38"/>
      <c r="C13" s="39">
        <v>123018.26</v>
      </c>
      <c r="D13" s="40"/>
      <c r="E13" s="39"/>
      <c r="F13" s="40"/>
      <c r="G13" s="40">
        <v>0</v>
      </c>
      <c r="H13" s="40"/>
    </row>
    <row r="14" spans="1:8" ht="51.75" customHeight="1" x14ac:dyDescent="0.2">
      <c r="A14" s="38" t="s">
        <v>6</v>
      </c>
      <c r="B14" s="38"/>
      <c r="C14" s="39">
        <v>113089</v>
      </c>
      <c r="D14" s="40"/>
      <c r="E14" s="39">
        <f>E11</f>
        <v>250693.2</v>
      </c>
      <c r="F14" s="40"/>
      <c r="G14" s="40">
        <v>0</v>
      </c>
      <c r="H14" s="40"/>
    </row>
    <row r="15" spans="1:8" ht="145.5" customHeight="1" x14ac:dyDescent="0.2">
      <c r="A15" s="38" t="s">
        <v>11</v>
      </c>
      <c r="B15" s="38"/>
      <c r="C15" s="39">
        <f>C10+C11-C14</f>
        <v>19270.839999999997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27"/>
      <c r="D16" s="27"/>
      <c r="E16" s="27"/>
      <c r="F16" s="27"/>
      <c r="G16" s="27"/>
      <c r="H16" s="27"/>
    </row>
    <row r="17" spans="1:8" ht="15.75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81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" right="0.7" top="0.75" bottom="0.75" header="0.3" footer="0.3"/>
  <pageSetup paperSize="9" orientation="portrait" horizontalDpi="1200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C000"/>
  </sheetPr>
  <dimension ref="A1:H29"/>
  <sheetViews>
    <sheetView view="pageBreakPreview" topLeftCell="A8" zoomScale="85" zoomScaleNormal="100" zoomScaleSheetLayoutView="85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65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138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48">
        <v>-537919.15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126218.4</v>
      </c>
      <c r="D11" s="40"/>
      <c r="E11" s="39">
        <f>212160.42+202147.82</f>
        <v>414308.24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562237.65-E12</f>
        <v>147929.41000000003</v>
      </c>
      <c r="D12" s="40"/>
      <c r="E12" s="39">
        <f>E11</f>
        <v>414308.24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247149.3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161873.62</v>
      </c>
      <c r="D14" s="40"/>
      <c r="E14" s="39">
        <f>E12</f>
        <v>414308.24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-573574.37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5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6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45"/>
      <c r="B20" s="45"/>
      <c r="C20" s="28"/>
      <c r="D20" s="28"/>
      <c r="E20" s="27"/>
      <c r="F20" s="27"/>
      <c r="G20" s="27"/>
      <c r="H20" s="27"/>
    </row>
    <row r="21" spans="1:8" ht="15.75" x14ac:dyDescent="0.2">
      <c r="A21" s="28"/>
      <c r="B21" s="28"/>
      <c r="C21" s="28"/>
      <c r="D21" s="28"/>
      <c r="E21" s="27"/>
      <c r="F21" s="27"/>
      <c r="G21" s="27"/>
      <c r="H21" s="27"/>
    </row>
    <row r="22" spans="1:8" ht="15.75" x14ac:dyDescent="0.2">
      <c r="A22" s="45"/>
      <c r="B22" s="45"/>
      <c r="C22" s="28"/>
      <c r="D22" s="28"/>
      <c r="E22" s="27"/>
      <c r="F22" s="27"/>
      <c r="G22" s="27"/>
      <c r="H22" s="27"/>
    </row>
    <row r="23" spans="1:8" ht="15.75" x14ac:dyDescent="0.2">
      <c r="A23" s="28"/>
      <c r="B23" s="28"/>
      <c r="C23" s="28"/>
      <c r="D23" s="28"/>
      <c r="E23" s="27"/>
      <c r="F23" s="27"/>
      <c r="G23" s="27"/>
      <c r="H23" s="27"/>
    </row>
    <row r="24" spans="1:8" ht="15.75" x14ac:dyDescent="0.2">
      <c r="A24" s="45" t="s">
        <v>10</v>
      </c>
      <c r="B24" s="45"/>
      <c r="C24" s="45"/>
      <c r="D24" s="45"/>
      <c r="E24" s="27"/>
      <c r="F24" s="27"/>
      <c r="G24" s="27"/>
      <c r="H24" s="27"/>
    </row>
    <row r="25" spans="1:8" ht="15.75" x14ac:dyDescent="0.2">
      <c r="A25" s="28"/>
      <c r="B25" s="28"/>
      <c r="C25" s="28"/>
      <c r="D25" s="28"/>
      <c r="E25" s="27"/>
      <c r="F25" s="27"/>
      <c r="G25" s="27"/>
      <c r="H25" s="27"/>
    </row>
    <row r="26" spans="1:8" ht="15.75" x14ac:dyDescent="0.2">
      <c r="A26" s="45" t="s">
        <v>31</v>
      </c>
      <c r="B26" s="45"/>
      <c r="C26" s="28"/>
      <c r="D26" s="28"/>
      <c r="E26" s="27"/>
      <c r="F26" s="27"/>
      <c r="G26" s="27"/>
      <c r="H26" s="27"/>
    </row>
    <row r="27" spans="1:8" ht="15.75" x14ac:dyDescent="0.2">
      <c r="A27" s="27"/>
      <c r="B27" s="27"/>
      <c r="C27" s="27"/>
      <c r="D27" s="27"/>
      <c r="E27" s="27"/>
      <c r="F27" s="27"/>
      <c r="G27" s="27"/>
      <c r="H27" s="27"/>
    </row>
    <row r="28" spans="1:8" ht="15.75" x14ac:dyDescent="0.2">
      <c r="A28" s="35"/>
      <c r="B28" s="35"/>
      <c r="C28" s="35"/>
      <c r="D28" s="35"/>
      <c r="E28" s="35"/>
      <c r="F28" s="35"/>
      <c r="G28" s="35"/>
      <c r="H28" s="27"/>
    </row>
    <row r="29" spans="1:8" x14ac:dyDescent="0.2">
      <c r="A29" s="69"/>
      <c r="B29" s="69"/>
      <c r="C29" s="69"/>
      <c r="D29" s="69"/>
      <c r="E29" s="69"/>
      <c r="F29" s="69"/>
      <c r="G29" s="69"/>
    </row>
  </sheetData>
  <mergeCells count="42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28:G28"/>
    <mergeCell ref="A29:G29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C000"/>
  </sheetPr>
  <dimension ref="A1:H30"/>
  <sheetViews>
    <sheetView view="pageBreakPreview" topLeftCell="A11" zoomScale="90" zoomScaleNormal="100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66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139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101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48">
        <v>82820.14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97586.11</v>
      </c>
      <c r="D11" s="40"/>
      <c r="E11" s="39">
        <f>147614.96+33352.2</f>
        <v>180967.15999999997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342773.34-E12-12089.54-62280.92</f>
        <v>87435.720000000045</v>
      </c>
      <c r="D12" s="40"/>
      <c r="E12" s="39">
        <f>E11</f>
        <v>180967.15999999997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138034.26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12705</v>
      </c>
      <c r="D14" s="40"/>
      <c r="E14" s="39">
        <f>E12</f>
        <v>180967.15999999997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167701.25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27"/>
      <c r="E16" s="27"/>
      <c r="F16" s="27"/>
      <c r="G16" s="27"/>
      <c r="H16" s="27"/>
    </row>
    <row r="17" spans="1:8" ht="56.25" customHeight="1" x14ac:dyDescent="0.2">
      <c r="A17" s="37"/>
      <c r="B17" s="37"/>
      <c r="C17" s="37"/>
      <c r="D17" s="37"/>
      <c r="E17" s="37"/>
      <c r="F17" s="37"/>
      <c r="G17" s="37"/>
      <c r="H17" s="37"/>
    </row>
    <row r="18" spans="1:8" ht="13.5" customHeight="1" x14ac:dyDescent="0.2">
      <c r="A18" s="34"/>
      <c r="B18" s="34"/>
      <c r="C18" s="34"/>
      <c r="D18" s="34"/>
      <c r="E18" s="29"/>
      <c r="F18" s="29"/>
      <c r="G18" s="29"/>
      <c r="H18" s="29"/>
    </row>
    <row r="19" spans="1:8" ht="15.75" x14ac:dyDescent="0.2">
      <c r="A19" s="45" t="s">
        <v>9</v>
      </c>
      <c r="B19" s="45"/>
      <c r="C19" s="26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 t="s">
        <v>10</v>
      </c>
      <c r="B21" s="45"/>
      <c r="C21" s="45"/>
      <c r="D21" s="45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29</v>
      </c>
      <c r="B23" s="45"/>
      <c r="C23" s="28"/>
      <c r="D23" s="28"/>
      <c r="E23" s="27"/>
      <c r="F23" s="27"/>
      <c r="G23" s="27"/>
      <c r="H23" s="27"/>
    </row>
    <row r="24" spans="1:8" ht="15.75" x14ac:dyDescent="0.2">
      <c r="A24" s="27"/>
      <c r="B24" s="27"/>
      <c r="C24" s="27"/>
      <c r="D24" s="27"/>
      <c r="E24" s="27"/>
      <c r="F24" s="27"/>
      <c r="G24" s="27"/>
      <c r="H24" s="27"/>
    </row>
    <row r="25" spans="1:8" x14ac:dyDescent="0.2">
      <c r="A25" s="69"/>
      <c r="B25" s="69"/>
      <c r="C25" s="69"/>
      <c r="D25" s="69"/>
      <c r="E25" s="69"/>
      <c r="F25" s="69"/>
      <c r="G25" s="69"/>
      <c r="H25" s="69"/>
    </row>
    <row r="26" spans="1:8" x14ac:dyDescent="0.2">
      <c r="A26" s="71"/>
      <c r="B26" s="71"/>
      <c r="C26" s="71"/>
      <c r="D26" s="71"/>
      <c r="E26" s="7"/>
    </row>
    <row r="27" spans="1:8" x14ac:dyDescent="0.2">
      <c r="A27" s="71"/>
      <c r="B27" s="71"/>
      <c r="C27" s="71"/>
      <c r="D27" s="71"/>
      <c r="E27" s="7"/>
    </row>
    <row r="28" spans="1:8" ht="27" customHeight="1" x14ac:dyDescent="0.2">
      <c r="A28" s="70"/>
      <c r="B28" s="70"/>
      <c r="C28" s="70"/>
      <c r="D28" s="70"/>
      <c r="E28" s="8"/>
      <c r="F28" s="2"/>
    </row>
    <row r="29" spans="1:8" x14ac:dyDescent="0.2">
      <c r="A29" s="71"/>
      <c r="B29" s="71"/>
      <c r="C29" s="71"/>
      <c r="D29" s="71"/>
      <c r="E29" s="7"/>
    </row>
    <row r="30" spans="1:8" x14ac:dyDescent="0.2">
      <c r="A30" s="72"/>
      <c r="B30" s="72"/>
      <c r="C30" s="72"/>
      <c r="D30" s="72"/>
      <c r="E30" s="9"/>
      <c r="F30" s="2"/>
    </row>
  </sheetData>
  <mergeCells count="44">
    <mergeCell ref="A28:D28"/>
    <mergeCell ref="A29:D29"/>
    <mergeCell ref="A27:D27"/>
    <mergeCell ref="A30:D30"/>
    <mergeCell ref="A26:D26"/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H25"/>
    <mergeCell ref="A16:B16"/>
    <mergeCell ref="A17:H17"/>
    <mergeCell ref="A19:B19"/>
    <mergeCell ref="A21:D21"/>
    <mergeCell ref="A23:B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C000"/>
  </sheetPr>
  <dimension ref="A1:H28"/>
  <sheetViews>
    <sheetView view="pageBreakPreview" topLeftCell="A7" zoomScale="90" zoomScaleNormal="100" zoomScaleSheetLayoutView="90" workbookViewId="0">
      <selection activeCell="C14" sqref="C14:D1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67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140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1.5" customHeight="1" x14ac:dyDescent="0.2">
      <c r="A10" s="66" t="s">
        <v>23</v>
      </c>
      <c r="B10" s="67"/>
      <c r="C10" s="48">
        <v>-785385.62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214840.19</v>
      </c>
      <c r="D11" s="40"/>
      <c r="E11" s="39">
        <f>261583.2+268995.9+20023.2+23368.78</f>
        <v>573971.08000000007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772891.02-E12</f>
        <v>198919.93999999994</v>
      </c>
      <c r="D12" s="40"/>
      <c r="E12" s="39">
        <f>E11</f>
        <v>573971.08000000007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447898.81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506314.86</v>
      </c>
      <c r="D14" s="40"/>
      <c r="E14" s="39">
        <f>E12</f>
        <v>573971.08000000007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-1076860.29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5"/>
      <c r="D17" s="27"/>
      <c r="E17" s="27"/>
      <c r="F17" s="27"/>
      <c r="G17" s="27"/>
      <c r="H17" s="27"/>
    </row>
    <row r="18" spans="1:8" ht="15.75" x14ac:dyDescent="0.2">
      <c r="A18" s="35" t="s">
        <v>9</v>
      </c>
      <c r="B18" s="35"/>
      <c r="C18" s="33"/>
      <c r="D18" s="27"/>
      <c r="E18" s="27"/>
      <c r="F18" s="27"/>
      <c r="G18" s="27"/>
      <c r="H18" s="27"/>
    </row>
    <row r="19" spans="1:8" ht="15.75" x14ac:dyDescent="0.2">
      <c r="A19" s="27"/>
      <c r="B19" s="27"/>
      <c r="C19" s="27"/>
      <c r="D19" s="27"/>
      <c r="E19" s="27"/>
      <c r="F19" s="27"/>
      <c r="G19" s="27"/>
      <c r="H19" s="27"/>
    </row>
    <row r="20" spans="1:8" ht="15.75" x14ac:dyDescent="0.2">
      <c r="A20" s="27"/>
      <c r="B20" s="27"/>
      <c r="C20" s="27"/>
      <c r="D20" s="27"/>
      <c r="E20" s="27"/>
      <c r="F20" s="27"/>
      <c r="G20" s="27"/>
      <c r="H20" s="27"/>
    </row>
    <row r="21" spans="1:8" ht="15.75" x14ac:dyDescent="0.2">
      <c r="A21" s="35"/>
      <c r="B21" s="35"/>
      <c r="C21" s="27"/>
      <c r="D21" s="27"/>
      <c r="E21" s="27"/>
      <c r="F21" s="27"/>
      <c r="G21" s="27"/>
      <c r="H21" s="27"/>
    </row>
    <row r="22" spans="1:8" ht="15.75" x14ac:dyDescent="0.2">
      <c r="A22" s="27"/>
      <c r="B22" s="27"/>
      <c r="C22" s="27"/>
      <c r="D22" s="27"/>
      <c r="E22" s="27"/>
      <c r="F22" s="27"/>
      <c r="G22" s="27"/>
      <c r="H22" s="27"/>
    </row>
    <row r="23" spans="1:8" ht="15.75" x14ac:dyDescent="0.2">
      <c r="A23" s="35" t="s">
        <v>10</v>
      </c>
      <c r="B23" s="35"/>
      <c r="C23" s="35"/>
      <c r="D23" s="35"/>
      <c r="E23" s="27"/>
      <c r="F23" s="27"/>
      <c r="G23" s="27"/>
      <c r="H23" s="27"/>
    </row>
    <row r="24" spans="1:8" ht="15.75" x14ac:dyDescent="0.2">
      <c r="A24" s="27"/>
      <c r="B24" s="27"/>
      <c r="C24" s="27"/>
      <c r="D24" s="27"/>
      <c r="E24" s="27"/>
      <c r="F24" s="27"/>
      <c r="G24" s="27"/>
      <c r="H24" s="27"/>
    </row>
    <row r="25" spans="1:8" ht="15.75" x14ac:dyDescent="0.2">
      <c r="A25" s="35" t="s">
        <v>29</v>
      </c>
      <c r="B25" s="35"/>
      <c r="C25" s="27"/>
      <c r="D25" s="27"/>
      <c r="E25" s="27"/>
      <c r="F25" s="27"/>
      <c r="G25" s="27"/>
      <c r="H25" s="27"/>
    </row>
    <row r="26" spans="1:8" ht="15.75" x14ac:dyDescent="0.2">
      <c r="A26" s="27"/>
      <c r="B26" s="27"/>
      <c r="C26" s="27"/>
      <c r="D26" s="27"/>
      <c r="E26" s="27"/>
      <c r="F26" s="27"/>
      <c r="G26" s="27"/>
      <c r="H26" s="27"/>
    </row>
    <row r="27" spans="1:8" x14ac:dyDescent="0.2">
      <c r="A27" s="69"/>
      <c r="B27" s="69"/>
      <c r="C27" s="69"/>
      <c r="D27" s="69"/>
      <c r="E27" s="69"/>
      <c r="F27" s="69"/>
      <c r="G27" s="69"/>
    </row>
    <row r="28" spans="1:8" x14ac:dyDescent="0.2">
      <c r="A28" s="69"/>
      <c r="B28" s="69"/>
      <c r="C28" s="69"/>
      <c r="D28" s="69"/>
      <c r="E28" s="69"/>
      <c r="F28" s="69"/>
      <c r="G28" s="69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C000"/>
  </sheetPr>
  <dimension ref="A1:H28"/>
  <sheetViews>
    <sheetView view="pageBreakPreview" topLeftCell="A5" zoomScale="90" zoomScaleNormal="100" zoomScaleSheetLayoutView="90" workbookViewId="0">
      <selection activeCell="E12" sqref="E12:F12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68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141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55</v>
      </c>
      <c r="B10" s="47"/>
      <c r="C10" s="48">
        <v>-141525.54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f>316709.05+74578.2</f>
        <v>391287.25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f>576023.24-177102.42</f>
        <v>398920.81999999995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305027.96000000002</v>
      </c>
      <c r="D13" s="40"/>
      <c r="E13" s="40"/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29949</v>
      </c>
      <c r="D14" s="40"/>
      <c r="E14" s="39">
        <f>E11</f>
        <v>391287.25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-171474.54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29</v>
      </c>
      <c r="B25" s="45"/>
      <c r="C25" s="28"/>
      <c r="D25" s="28"/>
      <c r="E25" s="27"/>
      <c r="F25" s="27"/>
      <c r="G25" s="27"/>
      <c r="H25" s="27"/>
    </row>
    <row r="26" spans="1:8" x14ac:dyDescent="0.2">
      <c r="A26" s="31"/>
      <c r="B26" s="31"/>
      <c r="C26" s="31"/>
      <c r="D26" s="31"/>
    </row>
    <row r="27" spans="1:8" x14ac:dyDescent="0.2">
      <c r="A27" s="69"/>
      <c r="B27" s="69"/>
      <c r="C27" s="69"/>
      <c r="D27" s="69"/>
      <c r="E27" s="69"/>
      <c r="F27" s="69"/>
      <c r="G27" s="69"/>
    </row>
    <row r="28" spans="1:8" x14ac:dyDescent="0.2">
      <c r="A28" s="69"/>
      <c r="B28" s="69"/>
      <c r="C28" s="69"/>
      <c r="D28" s="69"/>
      <c r="E28" s="69"/>
      <c r="F28" s="69"/>
      <c r="G28" s="69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7:G27"/>
    <mergeCell ref="A28:G28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C000"/>
  </sheetPr>
  <dimension ref="A1:H25"/>
  <sheetViews>
    <sheetView view="pageBreakPreview" topLeftCell="A10" zoomScale="90" zoomScaleNormal="85" zoomScaleSheetLayoutView="90" workbookViewId="0">
      <selection activeCell="A3" sqref="A3:H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69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142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55</v>
      </c>
      <c r="B10" s="47"/>
      <c r="C10" s="48">
        <v>32965.86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65161.6+70963.8+7231.87</f>
        <v>143357.26999999999</v>
      </c>
      <c r="D11" s="40"/>
      <c r="E11" s="39">
        <f>7499.7+22194.75+237164.1+230663.65</f>
        <v>497522.19999999995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623513.29-E12</f>
        <v>125991.09000000008</v>
      </c>
      <c r="D12" s="40"/>
      <c r="E12" s="39">
        <f>E11</f>
        <v>497522.19999999995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180670.1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497356</v>
      </c>
      <c r="D14" s="40"/>
      <c r="E14" s="39">
        <f>E12</f>
        <v>497522.19999999995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-321032.87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29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C000"/>
  </sheetPr>
  <dimension ref="A1:I30"/>
  <sheetViews>
    <sheetView view="pageBreakPreview" topLeftCell="A7" zoomScale="90" zoomScaleNormal="100" zoomScaleSheetLayoutView="90" workbookViewId="0">
      <selection activeCell="C13" sqref="C13:D13"/>
    </sheetView>
  </sheetViews>
  <sheetFormatPr defaultRowHeight="12.75" x14ac:dyDescent="0.2"/>
  <cols>
    <col min="2" max="2" width="16.5703125" customWidth="1"/>
  </cols>
  <sheetData>
    <row r="1" spans="1:9" ht="15.75" x14ac:dyDescent="0.2">
      <c r="A1" s="44" t="s">
        <v>70</v>
      </c>
      <c r="B1" s="44"/>
      <c r="C1" s="44"/>
      <c r="D1" s="44"/>
      <c r="E1" s="44"/>
      <c r="F1" s="44"/>
      <c r="G1" s="44"/>
      <c r="H1" s="44"/>
    </row>
    <row r="2" spans="1:9" ht="15.75" x14ac:dyDescent="0.2">
      <c r="A2" s="35" t="s">
        <v>130</v>
      </c>
      <c r="B2" s="35"/>
      <c r="C2" s="35"/>
      <c r="D2" s="35"/>
      <c r="E2" s="35"/>
      <c r="F2" s="35"/>
      <c r="G2" s="35"/>
      <c r="H2" s="35"/>
    </row>
    <row r="3" spans="1:9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9" ht="15.75" x14ac:dyDescent="0.2">
      <c r="A4" s="20"/>
      <c r="B4" s="20"/>
      <c r="C4" s="20"/>
      <c r="D4" s="20"/>
      <c r="E4" s="20"/>
      <c r="F4" s="20"/>
      <c r="G4" s="20"/>
      <c r="H4" s="20"/>
    </row>
    <row r="5" spans="1:9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9" ht="15.75" x14ac:dyDescent="0.2">
      <c r="A6" s="20"/>
      <c r="B6" s="20"/>
      <c r="C6" s="20"/>
      <c r="D6" s="20"/>
      <c r="E6" s="20"/>
      <c r="F6" s="20"/>
      <c r="G6" s="20"/>
      <c r="H6" s="20"/>
    </row>
    <row r="7" spans="1:9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9" ht="15.75" x14ac:dyDescent="0.2">
      <c r="A8" s="20"/>
      <c r="B8" s="20"/>
      <c r="C8" s="20"/>
      <c r="D8" s="20"/>
      <c r="E8" s="20"/>
      <c r="F8" s="20"/>
      <c r="G8" s="20"/>
      <c r="H8" s="20"/>
    </row>
    <row r="9" spans="1:9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9" ht="29.25" customHeight="1" x14ac:dyDescent="0.2">
      <c r="A10" s="46" t="s">
        <v>23</v>
      </c>
      <c r="B10" s="47"/>
      <c r="C10" s="48">
        <v>-13597.55</v>
      </c>
      <c r="D10" s="51"/>
      <c r="E10" s="50">
        <v>0</v>
      </c>
      <c r="F10" s="51"/>
      <c r="G10" s="50">
        <v>0</v>
      </c>
      <c r="H10" s="51"/>
    </row>
    <row r="11" spans="1:9" ht="15.75" x14ac:dyDescent="0.2">
      <c r="A11" s="38" t="s">
        <v>3</v>
      </c>
      <c r="B11" s="38"/>
      <c r="C11" s="39">
        <v>61901.32</v>
      </c>
      <c r="D11" s="40"/>
      <c r="E11" s="39">
        <f>67176.54+70851.78</f>
        <v>138028.32</v>
      </c>
      <c r="F11" s="40"/>
      <c r="G11" s="40">
        <v>0</v>
      </c>
      <c r="H11" s="40"/>
    </row>
    <row r="12" spans="1:9" ht="15.75" x14ac:dyDescent="0.2">
      <c r="A12" s="38" t="s">
        <v>4</v>
      </c>
      <c r="B12" s="38"/>
      <c r="C12" s="39">
        <f>212270.25-E12</f>
        <v>74241.929999999993</v>
      </c>
      <c r="D12" s="40"/>
      <c r="E12" s="39">
        <f>E11</f>
        <v>138028.32</v>
      </c>
      <c r="F12" s="40"/>
      <c r="G12" s="40">
        <v>0</v>
      </c>
      <c r="H12" s="40"/>
    </row>
    <row r="13" spans="1:9" ht="47.25" customHeight="1" x14ac:dyDescent="0.2">
      <c r="A13" s="38" t="s">
        <v>5</v>
      </c>
      <c r="B13" s="38"/>
      <c r="C13" s="39">
        <v>121942.92</v>
      </c>
      <c r="D13" s="40"/>
      <c r="E13" s="40">
        <v>0</v>
      </c>
      <c r="F13" s="40"/>
      <c r="G13" s="40">
        <v>0</v>
      </c>
      <c r="H13" s="40"/>
    </row>
    <row r="14" spans="1:9" ht="33" customHeight="1" x14ac:dyDescent="0.2">
      <c r="A14" s="38" t="s">
        <v>6</v>
      </c>
      <c r="B14" s="38"/>
      <c r="C14" s="39">
        <v>60130</v>
      </c>
      <c r="D14" s="40"/>
      <c r="E14" s="39">
        <f>E11</f>
        <v>138028.32</v>
      </c>
      <c r="F14" s="40"/>
      <c r="G14" s="40">
        <v>0</v>
      </c>
      <c r="H14" s="40"/>
    </row>
    <row r="15" spans="1:9" ht="92.25" customHeight="1" x14ac:dyDescent="0.2">
      <c r="A15" s="38" t="s">
        <v>11</v>
      </c>
      <c r="B15" s="38"/>
      <c r="C15" s="39">
        <f>C10+C11-C14</f>
        <v>-11826.229999999996</v>
      </c>
      <c r="D15" s="40"/>
      <c r="E15" s="40">
        <v>0</v>
      </c>
      <c r="F15" s="40"/>
      <c r="G15" s="40">
        <v>0</v>
      </c>
      <c r="H15" s="40"/>
      <c r="I15" t="s">
        <v>50</v>
      </c>
    </row>
    <row r="16" spans="1:9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1"/>
      <c r="F18" s="21"/>
      <c r="G18" s="21"/>
      <c r="H18" s="20"/>
    </row>
    <row r="19" spans="1:8" ht="15.75" x14ac:dyDescent="0.2">
      <c r="A19" s="21"/>
      <c r="B19" s="21"/>
      <c r="C19" s="21"/>
      <c r="D19" s="21"/>
      <c r="E19" s="21"/>
      <c r="F19" s="21"/>
      <c r="G19" s="21"/>
      <c r="H19" s="20"/>
    </row>
    <row r="20" spans="1:8" ht="15.75" x14ac:dyDescent="0.2">
      <c r="A20" s="21"/>
      <c r="B20" s="21"/>
      <c r="C20" s="21"/>
      <c r="D20" s="21"/>
      <c r="E20" s="21"/>
      <c r="F20" s="21"/>
      <c r="G20" s="21"/>
      <c r="H20" s="20"/>
    </row>
    <row r="21" spans="1:8" ht="15.75" x14ac:dyDescent="0.2">
      <c r="A21" s="45"/>
      <c r="B21" s="45"/>
      <c r="C21" s="21"/>
      <c r="D21" s="21"/>
      <c r="E21" s="21"/>
      <c r="F21" s="21"/>
      <c r="G21" s="21"/>
      <c r="H21" s="20"/>
    </row>
    <row r="22" spans="1:8" ht="15.75" x14ac:dyDescent="0.2">
      <c r="A22" s="21"/>
      <c r="B22" s="21"/>
      <c r="C22" s="21"/>
      <c r="D22" s="21"/>
      <c r="E22" s="21"/>
      <c r="F22" s="21"/>
      <c r="G22" s="21"/>
      <c r="H22" s="20"/>
    </row>
    <row r="23" spans="1:8" ht="15.75" x14ac:dyDescent="0.2">
      <c r="A23" s="45" t="s">
        <v>10</v>
      </c>
      <c r="B23" s="45"/>
      <c r="C23" s="45"/>
      <c r="D23" s="45"/>
      <c r="E23" s="21"/>
      <c r="F23" s="21"/>
      <c r="G23" s="21"/>
      <c r="H23" s="20"/>
    </row>
    <row r="24" spans="1:8" ht="15.75" x14ac:dyDescent="0.2">
      <c r="A24" s="21"/>
      <c r="B24" s="21"/>
      <c r="C24" s="21"/>
      <c r="D24" s="21"/>
      <c r="E24" s="21"/>
      <c r="F24" s="21"/>
      <c r="G24" s="21"/>
      <c r="H24" s="20"/>
    </row>
    <row r="25" spans="1:8" ht="15.75" x14ac:dyDescent="0.2">
      <c r="A25" s="45" t="s">
        <v>29</v>
      </c>
      <c r="B25" s="45"/>
      <c r="C25" s="21"/>
      <c r="D25" s="21"/>
      <c r="E25" s="21"/>
      <c r="F25" s="21"/>
      <c r="G25" s="21"/>
      <c r="H25" s="20"/>
    </row>
    <row r="26" spans="1:8" ht="15.75" x14ac:dyDescent="0.2">
      <c r="A26" s="21"/>
      <c r="B26" s="21"/>
      <c r="C26" s="21"/>
      <c r="D26" s="21"/>
      <c r="E26" s="21"/>
      <c r="F26" s="21"/>
      <c r="G26" s="21"/>
      <c r="H26" s="20"/>
    </row>
    <row r="27" spans="1:8" ht="15.75" x14ac:dyDescent="0.2">
      <c r="A27" s="21"/>
      <c r="B27" s="21"/>
      <c r="C27" s="21"/>
      <c r="D27" s="21"/>
      <c r="E27" s="21"/>
      <c r="F27" s="21"/>
      <c r="G27" s="21"/>
      <c r="H27" s="20"/>
    </row>
    <row r="28" spans="1:8" ht="15.75" x14ac:dyDescent="0.2">
      <c r="A28" s="45"/>
      <c r="B28" s="45"/>
      <c r="C28" s="45"/>
      <c r="D28" s="45"/>
      <c r="E28" s="45"/>
      <c r="F28" s="45"/>
      <c r="G28" s="45"/>
      <c r="H28" s="20"/>
    </row>
    <row r="29" spans="1:8" ht="15.75" x14ac:dyDescent="0.2">
      <c r="A29" s="35"/>
      <c r="B29" s="35"/>
      <c r="C29" s="35"/>
      <c r="D29" s="35"/>
      <c r="E29" s="35"/>
      <c r="F29" s="35"/>
      <c r="G29" s="35"/>
      <c r="H29" s="20"/>
    </row>
    <row r="30" spans="1:8" ht="15.75" x14ac:dyDescent="0.2">
      <c r="A30" s="20"/>
      <c r="B30" s="20"/>
      <c r="C30" s="20"/>
      <c r="D30" s="20"/>
      <c r="E30" s="20"/>
      <c r="F30" s="20"/>
      <c r="G30" s="20"/>
      <c r="H30" s="20"/>
    </row>
  </sheetData>
  <mergeCells count="41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8:G28"/>
    <mergeCell ref="A29:G29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H26"/>
  <sheetViews>
    <sheetView view="pageBreakPreview" topLeftCell="A7" zoomScale="85" zoomScaleNormal="100" zoomScaleSheetLayoutView="85" workbookViewId="0">
      <selection activeCell="K15" sqref="K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35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99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14"/>
      <c r="B3" s="14"/>
      <c r="C3" s="17"/>
      <c r="D3" s="17" t="s">
        <v>94</v>
      </c>
      <c r="E3" s="14"/>
      <c r="F3" s="14"/>
      <c r="G3" s="14"/>
      <c r="H3" s="14"/>
    </row>
    <row r="4" spans="1:8" ht="15.75" x14ac:dyDescent="0.2">
      <c r="A4" s="14"/>
      <c r="B4" s="14"/>
      <c r="C4" s="14"/>
      <c r="D4" s="14"/>
      <c r="E4" s="14"/>
      <c r="F4" s="14"/>
      <c r="G4" s="14"/>
      <c r="H4" s="14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14"/>
      <c r="B6" s="14"/>
      <c r="C6" s="14"/>
      <c r="D6" s="14"/>
      <c r="E6" s="14"/>
      <c r="F6" s="14"/>
      <c r="G6" s="14"/>
      <c r="H6" s="14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14"/>
      <c r="B8" s="14"/>
      <c r="C8" s="14"/>
      <c r="D8" s="14"/>
      <c r="E8" s="14"/>
      <c r="F8" s="14"/>
      <c r="G8" s="14"/>
      <c r="H8" s="14"/>
    </row>
    <row r="9" spans="1:8" ht="54" customHeight="1" x14ac:dyDescent="0.2">
      <c r="A9" s="53"/>
      <c r="B9" s="53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39">
        <v>-226632.29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98113.17-1755.04</f>
        <v>96358.13</v>
      </c>
      <c r="D11" s="40"/>
      <c r="E11" s="39">
        <f>5850.92-547.56+108569.48+106878.98-3809.52</f>
        <v>216942.30000000002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307519.86-216942.3</f>
        <v>90577.56</v>
      </c>
      <c r="D12" s="40"/>
      <c r="E12" s="39">
        <f>E11</f>
        <v>216942.30000000002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44387.97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42063</v>
      </c>
      <c r="D14" s="40"/>
      <c r="E14" s="39">
        <f>E12</f>
        <v>216942.30000000002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-172337.16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14"/>
      <c r="D16" s="14"/>
      <c r="E16" s="14"/>
      <c r="F16" s="14"/>
      <c r="G16" s="14"/>
      <c r="H16" s="14"/>
    </row>
    <row r="17" spans="1:8" ht="12.75" customHeight="1" x14ac:dyDescent="0.2">
      <c r="A17" s="36"/>
      <c r="B17" s="36"/>
      <c r="C17" s="14"/>
      <c r="D17" s="14"/>
      <c r="E17" s="14"/>
      <c r="F17" s="14"/>
      <c r="G17" s="14"/>
      <c r="H17" s="14"/>
    </row>
    <row r="18" spans="1:8" ht="15.75" x14ac:dyDescent="0.2">
      <c r="A18" s="45" t="s">
        <v>9</v>
      </c>
      <c r="B18" s="45"/>
      <c r="C18" s="14"/>
      <c r="D18" s="14"/>
      <c r="E18" s="14"/>
      <c r="F18" s="14"/>
      <c r="G18" s="14"/>
      <c r="H18" s="14"/>
    </row>
    <row r="19" spans="1:8" ht="15.75" x14ac:dyDescent="0.2">
      <c r="A19" s="14"/>
      <c r="B19" s="14"/>
      <c r="C19" s="14"/>
      <c r="D19" s="14"/>
      <c r="E19" s="14"/>
      <c r="F19" s="14"/>
      <c r="G19" s="14"/>
      <c r="H19" s="14"/>
    </row>
    <row r="20" spans="1:8" ht="15.75" x14ac:dyDescent="0.2">
      <c r="A20" s="35"/>
      <c r="B20" s="35"/>
      <c r="C20" s="14"/>
      <c r="D20" s="14"/>
      <c r="E20" s="14"/>
      <c r="F20" s="14"/>
      <c r="G20" s="14"/>
      <c r="H20" s="14"/>
    </row>
    <row r="21" spans="1:8" ht="15.75" x14ac:dyDescent="0.2">
      <c r="A21" s="14"/>
      <c r="B21" s="14"/>
      <c r="C21" s="14"/>
      <c r="D21" s="14"/>
      <c r="E21" s="14"/>
      <c r="F21" s="14"/>
      <c r="G21" s="14"/>
      <c r="H21" s="14"/>
    </row>
    <row r="22" spans="1:8" ht="15.75" x14ac:dyDescent="0.2">
      <c r="A22" s="35"/>
      <c r="B22" s="35"/>
      <c r="C22" s="14"/>
      <c r="D22" s="14"/>
      <c r="E22" s="14"/>
      <c r="F22" s="14"/>
      <c r="G22" s="14"/>
      <c r="H22" s="14"/>
    </row>
    <row r="23" spans="1:8" ht="15.75" x14ac:dyDescent="0.2">
      <c r="A23" s="14"/>
      <c r="B23" s="14"/>
      <c r="C23" s="14"/>
      <c r="D23" s="14"/>
      <c r="E23" s="14"/>
      <c r="F23" s="14"/>
      <c r="G23" s="14"/>
      <c r="H23" s="14"/>
    </row>
    <row r="24" spans="1:8" ht="15.75" x14ac:dyDescent="0.2">
      <c r="A24" s="45" t="s">
        <v>10</v>
      </c>
      <c r="B24" s="45"/>
      <c r="C24" s="45"/>
      <c r="D24" s="45"/>
      <c r="E24" s="14"/>
      <c r="F24" s="14"/>
      <c r="G24" s="14"/>
      <c r="H24" s="14"/>
    </row>
    <row r="25" spans="1:8" ht="15.75" x14ac:dyDescent="0.2">
      <c r="A25" s="16"/>
      <c r="B25" s="16"/>
      <c r="C25" s="16"/>
      <c r="D25" s="16"/>
      <c r="E25" s="14"/>
      <c r="F25" s="14"/>
      <c r="G25" s="14"/>
      <c r="H25" s="14"/>
    </row>
    <row r="26" spans="1:8" ht="15.75" x14ac:dyDescent="0.2">
      <c r="A26" s="45" t="s">
        <v>32</v>
      </c>
      <c r="B26" s="45"/>
      <c r="C26" s="16"/>
      <c r="D26" s="16"/>
      <c r="E26" s="14"/>
      <c r="F26" s="14"/>
      <c r="G26" s="14"/>
      <c r="H26" s="14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0:B20"/>
    <mergeCell ref="A22:B22"/>
    <mergeCell ref="A24:D24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C000"/>
  </sheetPr>
  <dimension ref="A1:H28"/>
  <sheetViews>
    <sheetView view="pageBreakPreview" topLeftCell="A7" zoomScale="90" zoomScaleNormal="100" zoomScaleSheetLayoutView="90" workbookViewId="0">
      <selection activeCell="C14" sqref="C14:D1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71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129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48">
        <v>58342.400000000001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72002.399999999994</v>
      </c>
      <c r="D11" s="40"/>
      <c r="E11" s="39">
        <f>119886.26+125623.38</f>
        <v>245509.64</v>
      </c>
      <c r="F11" s="40"/>
      <c r="G11" s="63"/>
      <c r="H11" s="63"/>
    </row>
    <row r="12" spans="1:8" ht="15.75" x14ac:dyDescent="0.2">
      <c r="A12" s="38" t="s">
        <v>4</v>
      </c>
      <c r="B12" s="38"/>
      <c r="C12" s="39">
        <f>306092.09-E12</f>
        <v>60582.450000000012</v>
      </c>
      <c r="D12" s="40"/>
      <c r="E12" s="39">
        <f>E11</f>
        <v>245509.64</v>
      </c>
      <c r="F12" s="40"/>
      <c r="G12" s="40"/>
      <c r="H12" s="40"/>
    </row>
    <row r="13" spans="1:8" ht="47.25" customHeight="1" x14ac:dyDescent="0.2">
      <c r="A13" s="38" t="s">
        <v>5</v>
      </c>
      <c r="B13" s="38"/>
      <c r="C13" s="39">
        <v>276145.69</v>
      </c>
      <c r="D13" s="40"/>
      <c r="E13" s="39">
        <f>E11-E12</f>
        <v>0</v>
      </c>
      <c r="F13" s="40"/>
      <c r="G13" s="40"/>
      <c r="H13" s="40"/>
    </row>
    <row r="14" spans="1:8" ht="33" customHeight="1" x14ac:dyDescent="0.2">
      <c r="A14" s="38" t="s">
        <v>6</v>
      </c>
      <c r="B14" s="38"/>
      <c r="C14" s="39">
        <v>10466.01</v>
      </c>
      <c r="D14" s="40"/>
      <c r="E14" s="39">
        <f>E12</f>
        <v>245509.64</v>
      </c>
      <c r="F14" s="40"/>
      <c r="G14" s="40"/>
      <c r="H14" s="40"/>
    </row>
    <row r="15" spans="1:8" ht="92.25" customHeight="1" x14ac:dyDescent="0.2">
      <c r="A15" s="38" t="s">
        <v>11</v>
      </c>
      <c r="B15" s="38"/>
      <c r="C15" s="39">
        <f>C10+C11-C14</f>
        <v>119878.79</v>
      </c>
      <c r="D15" s="40"/>
      <c r="E15" s="40">
        <v>0</v>
      </c>
      <c r="F15" s="40"/>
      <c r="G15" s="40"/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21"/>
      <c r="B21" s="21"/>
      <c r="C21" s="21"/>
      <c r="D21" s="21"/>
      <c r="E21" s="20"/>
      <c r="F21" s="20"/>
      <c r="G21" s="20"/>
      <c r="H21" s="20"/>
    </row>
    <row r="22" spans="1:8" ht="15.75" x14ac:dyDescent="0.2">
      <c r="A22" s="45"/>
      <c r="B22" s="45"/>
      <c r="C22" s="21"/>
      <c r="D22" s="21"/>
      <c r="E22" s="20"/>
      <c r="F22" s="20"/>
      <c r="G22" s="20"/>
      <c r="H22" s="20"/>
    </row>
    <row r="23" spans="1:8" ht="15.75" x14ac:dyDescent="0.2">
      <c r="A23" s="21"/>
      <c r="B23" s="21"/>
      <c r="C23" s="21"/>
      <c r="D23" s="21"/>
      <c r="E23" s="20"/>
      <c r="F23" s="20"/>
      <c r="G23" s="20"/>
      <c r="H23" s="20"/>
    </row>
    <row r="24" spans="1:8" ht="15.75" x14ac:dyDescent="0.2">
      <c r="A24" s="45" t="s">
        <v>10</v>
      </c>
      <c r="B24" s="45"/>
      <c r="C24" s="45"/>
      <c r="D24" s="45"/>
      <c r="E24" s="20"/>
      <c r="F24" s="20"/>
      <c r="G24" s="20"/>
      <c r="H24" s="20"/>
    </row>
    <row r="25" spans="1:8" ht="15.75" x14ac:dyDescent="0.2">
      <c r="A25" s="21"/>
      <c r="B25" s="21"/>
      <c r="C25" s="21"/>
      <c r="D25" s="21"/>
      <c r="E25" s="20"/>
      <c r="F25" s="20"/>
      <c r="G25" s="20"/>
      <c r="H25" s="20"/>
    </row>
    <row r="26" spans="1:8" ht="15.75" x14ac:dyDescent="0.2">
      <c r="A26" s="45" t="s">
        <v>29</v>
      </c>
      <c r="B26" s="45"/>
      <c r="C26" s="21"/>
      <c r="D26" s="21"/>
      <c r="E26" s="20"/>
      <c r="F26" s="20"/>
      <c r="G26" s="20"/>
      <c r="H26" s="20"/>
    </row>
    <row r="27" spans="1:8" ht="15.75" x14ac:dyDescent="0.2">
      <c r="A27" s="20"/>
      <c r="B27" s="20"/>
      <c r="C27" s="20"/>
      <c r="D27" s="20"/>
      <c r="E27" s="20"/>
      <c r="F27" s="20"/>
      <c r="G27" s="20"/>
      <c r="H27" s="20"/>
    </row>
    <row r="28" spans="1:8" ht="15.75" x14ac:dyDescent="0.2">
      <c r="A28" s="20"/>
      <c r="B28" s="20"/>
      <c r="C28" s="20"/>
      <c r="D28" s="20"/>
      <c r="E28" s="20"/>
      <c r="F28" s="20"/>
      <c r="G28" s="20"/>
      <c r="H28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6:B26"/>
    <mergeCell ref="A16:B16"/>
    <mergeCell ref="A17:B17"/>
    <mergeCell ref="A18:B18"/>
    <mergeCell ref="A22:B22"/>
    <mergeCell ref="A24:D24"/>
  </mergeCells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C000"/>
  </sheetPr>
  <dimension ref="A1:H25"/>
  <sheetViews>
    <sheetView view="pageBreakPreview" topLeftCell="A7" zoomScale="90" zoomScaleNormal="100" zoomScaleSheetLayoutView="90" workbookViewId="0">
      <selection activeCell="A3" sqref="A3:H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72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128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48">
        <v>-71099.59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61957.2</v>
      </c>
      <c r="D11" s="40"/>
      <c r="E11" s="39">
        <f>70989+74692.14</f>
        <v>145681.14000000001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187548.58-E12</f>
        <v>41867.439999999973</v>
      </c>
      <c r="D12" s="40"/>
      <c r="E12" s="39">
        <f>E11</f>
        <v>145681.14000000001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266484.84999999998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23008.1</v>
      </c>
      <c r="D14" s="40"/>
      <c r="E14" s="39">
        <f>E11</f>
        <v>145681.14000000001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-32150.489999999998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C000"/>
  </sheetPr>
  <dimension ref="A1:H25"/>
  <sheetViews>
    <sheetView view="pageBreakPreview" topLeftCell="A7" zoomScale="90" zoomScaleNormal="100" zoomScaleSheetLayoutView="90" workbookViewId="0">
      <selection activeCell="A5" sqref="A5:H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73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127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7.75" customHeight="1" x14ac:dyDescent="0.2">
      <c r="A10" s="46" t="s">
        <v>23</v>
      </c>
      <c r="B10" s="47"/>
      <c r="C10" s="48">
        <v>36665.83</v>
      </c>
      <c r="D10" s="51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26037.96</v>
      </c>
      <c r="D11" s="40"/>
      <c r="E11" s="39">
        <f>29833.45+31389.6</f>
        <v>61223.05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86784.32-E12</f>
        <v>25561.270000000004</v>
      </c>
      <c r="D12" s="40"/>
      <c r="E12" s="39">
        <f>E11</f>
        <v>61223.05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146035.21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0</v>
      </c>
      <c r="D14" s="40"/>
      <c r="E14" s="39">
        <f>E12</f>
        <v>61223.05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62703.79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5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6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31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C000"/>
  </sheetPr>
  <dimension ref="A1:H29"/>
  <sheetViews>
    <sheetView view="pageBreakPreview" topLeftCell="A7" zoomScale="85" zoomScaleNormal="100" zoomScaleSheetLayoutView="85" workbookViewId="0">
      <selection activeCell="C16" sqref="C16:D16"/>
    </sheetView>
  </sheetViews>
  <sheetFormatPr defaultRowHeight="15.75" x14ac:dyDescent="0.25"/>
  <cols>
    <col min="1" max="1" width="9.140625" style="5"/>
    <col min="2" max="2" width="23.5703125" style="5" customWidth="1"/>
    <col min="3" max="16384" width="9.140625" style="5"/>
  </cols>
  <sheetData>
    <row r="1" spans="1:8" x14ac:dyDescent="0.25">
      <c r="A1" s="44" t="s">
        <v>74</v>
      </c>
      <c r="B1" s="44"/>
      <c r="C1" s="44"/>
      <c r="D1" s="44"/>
      <c r="E1" s="44"/>
      <c r="F1" s="44"/>
      <c r="G1" s="44"/>
      <c r="H1" s="44"/>
    </row>
    <row r="2" spans="1:8" x14ac:dyDescent="0.25">
      <c r="A2" s="35" t="s">
        <v>75</v>
      </c>
      <c r="B2" s="35"/>
      <c r="C2" s="35"/>
      <c r="D2" s="35"/>
      <c r="E2" s="35"/>
      <c r="F2" s="35"/>
      <c r="G2" s="35"/>
      <c r="H2" s="35"/>
    </row>
    <row r="3" spans="1:8" x14ac:dyDescent="0.25">
      <c r="A3" s="44" t="s">
        <v>95</v>
      </c>
      <c r="B3" s="44"/>
      <c r="C3" s="44"/>
      <c r="D3" s="44"/>
      <c r="E3" s="44"/>
      <c r="F3" s="44"/>
      <c r="G3" s="44"/>
      <c r="H3" s="44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ht="51" customHeight="1" x14ac:dyDescent="0.25">
      <c r="A5" s="36" t="s">
        <v>7</v>
      </c>
      <c r="B5" s="36"/>
      <c r="C5" s="36"/>
      <c r="D5" s="36"/>
      <c r="E5" s="36"/>
      <c r="F5" s="36"/>
      <c r="G5" s="36"/>
      <c r="H5" s="36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45" t="s">
        <v>8</v>
      </c>
      <c r="B7" s="45"/>
      <c r="C7" s="45"/>
      <c r="D7" s="45"/>
      <c r="E7" s="45"/>
      <c r="F7" s="45"/>
      <c r="G7" s="45"/>
      <c r="H7" s="45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5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3" customHeight="1" x14ac:dyDescent="0.25">
      <c r="A10" s="46" t="s">
        <v>38</v>
      </c>
      <c r="B10" s="47"/>
      <c r="C10" s="39">
        <v>-267822.25</v>
      </c>
      <c r="D10" s="40"/>
      <c r="E10" s="50">
        <v>0</v>
      </c>
      <c r="F10" s="51"/>
      <c r="G10" s="50">
        <v>0</v>
      </c>
      <c r="H10" s="51"/>
    </row>
    <row r="11" spans="1:8" x14ac:dyDescent="0.25">
      <c r="A11" s="38" t="s">
        <v>39</v>
      </c>
      <c r="B11" s="38"/>
      <c r="C11" s="39">
        <v>144913.56</v>
      </c>
      <c r="D11" s="40"/>
      <c r="E11" s="39">
        <f>314272.09+29239.92</f>
        <v>343512.01</v>
      </c>
      <c r="F11" s="40"/>
      <c r="G11" s="40">
        <v>0</v>
      </c>
      <c r="H11" s="40"/>
    </row>
    <row r="12" spans="1:8" x14ac:dyDescent="0.25">
      <c r="A12" s="38" t="s">
        <v>4</v>
      </c>
      <c r="B12" s="38"/>
      <c r="C12" s="39">
        <f>490076.46-E12</f>
        <v>146564.45000000001</v>
      </c>
      <c r="D12" s="40"/>
      <c r="E12" s="39">
        <f>E11</f>
        <v>343512.01</v>
      </c>
      <c r="F12" s="40"/>
      <c r="G12" s="40">
        <v>0</v>
      </c>
      <c r="H12" s="40"/>
    </row>
    <row r="13" spans="1:8" ht="47.25" customHeight="1" x14ac:dyDescent="0.25">
      <c r="A13" s="38" t="s">
        <v>40</v>
      </c>
      <c r="B13" s="38"/>
      <c r="C13" s="39">
        <v>309843.11</v>
      </c>
      <c r="D13" s="40"/>
      <c r="E13" s="40">
        <v>0</v>
      </c>
      <c r="F13" s="40"/>
      <c r="G13" s="40">
        <v>0</v>
      </c>
      <c r="H13" s="40"/>
    </row>
    <row r="14" spans="1:8" ht="40.5" customHeight="1" x14ac:dyDescent="0.25">
      <c r="A14" s="38" t="s">
        <v>41</v>
      </c>
      <c r="B14" s="38"/>
      <c r="C14" s="39">
        <v>7647</v>
      </c>
      <c r="D14" s="40"/>
      <c r="E14" s="39">
        <f>E11</f>
        <v>343512.01</v>
      </c>
      <c r="F14" s="40"/>
      <c r="G14" s="40">
        <v>0</v>
      </c>
      <c r="H14" s="40"/>
    </row>
    <row r="15" spans="1:8" ht="70.5" customHeight="1" x14ac:dyDescent="0.25">
      <c r="A15" s="38" t="s">
        <v>89</v>
      </c>
      <c r="B15" s="38"/>
      <c r="C15" s="39">
        <f>C10+C11-C14</f>
        <v>-130555.69</v>
      </c>
      <c r="D15" s="40"/>
      <c r="E15" s="40">
        <v>0</v>
      </c>
      <c r="F15" s="40"/>
      <c r="G15" s="40">
        <v>0</v>
      </c>
      <c r="H15" s="40"/>
    </row>
    <row r="16" spans="1:8" s="6" customFormat="1" ht="68.25" customHeight="1" x14ac:dyDescent="0.2">
      <c r="A16" s="38" t="s">
        <v>90</v>
      </c>
      <c r="B16" s="38"/>
      <c r="C16" s="48">
        <f>C15-C13</f>
        <v>-440398.8</v>
      </c>
      <c r="D16" s="51"/>
      <c r="E16" s="50">
        <v>0</v>
      </c>
      <c r="F16" s="51"/>
      <c r="G16" s="50">
        <v>0</v>
      </c>
      <c r="H16" s="51"/>
    </row>
    <row r="17" spans="1:8" ht="13.5" customHeight="1" x14ac:dyDescent="0.25">
      <c r="A17" s="36"/>
      <c r="B17" s="36"/>
      <c r="C17" s="20"/>
      <c r="D17" s="20"/>
      <c r="E17" s="20"/>
      <c r="F17" s="20"/>
      <c r="G17" s="20"/>
      <c r="H17" s="20"/>
    </row>
    <row r="18" spans="1:8" ht="12.75" customHeight="1" x14ac:dyDescent="0.25">
      <c r="A18" s="36"/>
      <c r="B18" s="36"/>
      <c r="C18" s="20"/>
      <c r="D18" s="20"/>
      <c r="E18" s="20"/>
      <c r="F18" s="20"/>
      <c r="G18" s="20"/>
      <c r="H18" s="20"/>
    </row>
    <row r="19" spans="1:8" x14ac:dyDescent="0.25">
      <c r="A19" s="45" t="s">
        <v>9</v>
      </c>
      <c r="B19" s="45"/>
      <c r="C19" s="21"/>
      <c r="D19" s="21"/>
      <c r="E19" s="20"/>
      <c r="F19" s="20"/>
      <c r="G19" s="20"/>
      <c r="H19" s="20"/>
    </row>
    <row r="20" spans="1:8" x14ac:dyDescent="0.25">
      <c r="A20" s="21"/>
      <c r="B20" s="21"/>
      <c r="C20" s="21"/>
      <c r="D20" s="21"/>
      <c r="E20" s="20"/>
      <c r="F20" s="20"/>
      <c r="G20" s="20"/>
      <c r="H20" s="20"/>
    </row>
    <row r="21" spans="1:8" x14ac:dyDescent="0.25">
      <c r="A21" s="45" t="s">
        <v>10</v>
      </c>
      <c r="B21" s="45"/>
      <c r="C21" s="45"/>
      <c r="D21" s="45"/>
      <c r="E21" s="20"/>
      <c r="F21" s="20"/>
      <c r="G21" s="20"/>
      <c r="H21" s="20"/>
    </row>
    <row r="22" spans="1:8" x14ac:dyDescent="0.25">
      <c r="A22" s="21"/>
      <c r="B22" s="21"/>
      <c r="C22" s="21"/>
      <c r="D22" s="21"/>
      <c r="E22" s="20"/>
      <c r="F22" s="20"/>
      <c r="G22" s="20"/>
      <c r="H22" s="20"/>
    </row>
    <row r="23" spans="1:8" x14ac:dyDescent="0.25">
      <c r="A23" s="45" t="s">
        <v>29</v>
      </c>
      <c r="B23" s="45"/>
      <c r="C23" s="21"/>
      <c r="D23" s="21"/>
      <c r="E23" s="20"/>
      <c r="F23" s="20"/>
      <c r="G23" s="20"/>
      <c r="H23" s="20"/>
    </row>
    <row r="24" spans="1:8" x14ac:dyDescent="0.25">
      <c r="A24" s="21"/>
      <c r="B24" s="21"/>
      <c r="C24" s="21"/>
      <c r="D24" s="21"/>
      <c r="E24" s="20"/>
      <c r="F24" s="20"/>
      <c r="G24" s="20"/>
      <c r="H24" s="20"/>
    </row>
    <row r="25" spans="1:8" x14ac:dyDescent="0.25">
      <c r="A25" s="21"/>
      <c r="B25" s="21"/>
      <c r="C25" s="21"/>
      <c r="D25" s="21"/>
      <c r="E25" s="20"/>
      <c r="F25" s="20"/>
      <c r="G25" s="20"/>
      <c r="H25" s="20"/>
    </row>
    <row r="26" spans="1:8" x14ac:dyDescent="0.25">
      <c r="A26" s="20"/>
      <c r="B26" s="20"/>
      <c r="C26" s="20"/>
      <c r="D26" s="20"/>
      <c r="E26" s="20"/>
      <c r="F26" s="20"/>
      <c r="G26" s="20"/>
      <c r="H26" s="20"/>
    </row>
    <row r="27" spans="1:8" x14ac:dyDescent="0.25">
      <c r="A27" s="20"/>
      <c r="B27" s="20"/>
      <c r="C27" s="20"/>
      <c r="D27" s="20"/>
      <c r="E27" s="20"/>
      <c r="F27" s="20"/>
      <c r="G27" s="20"/>
      <c r="H27" s="20"/>
    </row>
    <row r="28" spans="1:8" x14ac:dyDescent="0.25">
      <c r="A28" s="20"/>
      <c r="B28" s="20"/>
      <c r="C28" s="32"/>
      <c r="D28" s="32"/>
      <c r="E28" s="32"/>
      <c r="F28" s="32"/>
      <c r="G28" s="32"/>
      <c r="H28" s="32"/>
    </row>
    <row r="29" spans="1:8" x14ac:dyDescent="0.25">
      <c r="A29" s="20"/>
      <c r="B29" s="20"/>
      <c r="C29" s="32"/>
      <c r="D29" s="32"/>
      <c r="E29" s="32"/>
      <c r="F29" s="32"/>
      <c r="G29" s="32"/>
      <c r="H29" s="32"/>
    </row>
  </sheetData>
  <mergeCells count="42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A12:B12"/>
    <mergeCell ref="C12:D12"/>
    <mergeCell ref="E12:F12"/>
    <mergeCell ref="G12:H12"/>
    <mergeCell ref="A13:B13"/>
    <mergeCell ref="G11:H11"/>
    <mergeCell ref="E16:F16"/>
    <mergeCell ref="G16:H16"/>
    <mergeCell ref="A17:B17"/>
    <mergeCell ref="G14:H14"/>
    <mergeCell ref="A15:B15"/>
    <mergeCell ref="C15:D15"/>
    <mergeCell ref="E15:F15"/>
    <mergeCell ref="G15:H15"/>
    <mergeCell ref="A14:B14"/>
    <mergeCell ref="C14:D14"/>
    <mergeCell ref="E14:F14"/>
    <mergeCell ref="A18:B18"/>
    <mergeCell ref="A19:B19"/>
    <mergeCell ref="A21:D21"/>
    <mergeCell ref="A23:B23"/>
    <mergeCell ref="A16:B16"/>
    <mergeCell ref="C16:D16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1A499-4E93-44D3-A0D8-4F2E5E10C5B8}">
  <sheetPr>
    <tabColor rgb="FFFFC000"/>
  </sheetPr>
  <dimension ref="A1:H29"/>
  <sheetViews>
    <sheetView view="pageBreakPreview" topLeftCell="A10" zoomScale="85" zoomScaleNormal="100" zoomScaleSheetLayoutView="85" workbookViewId="0">
      <selection activeCell="E17" sqref="E17"/>
    </sheetView>
  </sheetViews>
  <sheetFormatPr defaultRowHeight="15.75" x14ac:dyDescent="0.25"/>
  <cols>
    <col min="1" max="1" width="9.140625" style="5"/>
    <col min="2" max="2" width="23.5703125" style="5" customWidth="1"/>
    <col min="3" max="16384" width="9.140625" style="5"/>
  </cols>
  <sheetData>
    <row r="1" spans="1:8" x14ac:dyDescent="0.25">
      <c r="A1" s="44" t="s">
        <v>120</v>
      </c>
      <c r="B1" s="44"/>
      <c r="C1" s="44"/>
      <c r="D1" s="44"/>
      <c r="E1" s="44"/>
      <c r="F1" s="44"/>
      <c r="G1" s="44"/>
      <c r="H1" s="44"/>
    </row>
    <row r="2" spans="1:8" x14ac:dyDescent="0.25">
      <c r="A2" s="35" t="s">
        <v>121</v>
      </c>
      <c r="B2" s="35"/>
      <c r="C2" s="35"/>
      <c r="D2" s="35"/>
      <c r="E2" s="35"/>
      <c r="F2" s="35"/>
      <c r="G2" s="35"/>
      <c r="H2" s="35"/>
    </row>
    <row r="3" spans="1:8" x14ac:dyDescent="0.25">
      <c r="A3" s="44" t="s">
        <v>95</v>
      </c>
      <c r="B3" s="44"/>
      <c r="C3" s="44"/>
      <c r="D3" s="44"/>
      <c r="E3" s="44"/>
      <c r="F3" s="44"/>
      <c r="G3" s="44"/>
      <c r="H3" s="44"/>
    </row>
    <row r="4" spans="1:8" x14ac:dyDescent="0.25">
      <c r="A4" s="20"/>
      <c r="B4" s="20"/>
      <c r="C4" s="20"/>
      <c r="D4" s="20"/>
      <c r="E4" s="20"/>
      <c r="F4" s="20"/>
      <c r="G4" s="20"/>
      <c r="H4" s="20"/>
    </row>
    <row r="5" spans="1:8" ht="51" customHeight="1" x14ac:dyDescent="0.25">
      <c r="A5" s="36" t="s">
        <v>7</v>
      </c>
      <c r="B5" s="36"/>
      <c r="C5" s="36"/>
      <c r="D5" s="36"/>
      <c r="E5" s="36"/>
      <c r="F5" s="36"/>
      <c r="G5" s="36"/>
      <c r="H5" s="36"/>
    </row>
    <row r="6" spans="1:8" x14ac:dyDescent="0.25">
      <c r="A6" s="20"/>
      <c r="B6" s="20"/>
      <c r="C6" s="20"/>
      <c r="D6" s="20"/>
      <c r="E6" s="20"/>
      <c r="F6" s="20"/>
      <c r="G6" s="20"/>
      <c r="H6" s="20"/>
    </row>
    <row r="7" spans="1:8" x14ac:dyDescent="0.25">
      <c r="A7" s="45" t="s">
        <v>8</v>
      </c>
      <c r="B7" s="45"/>
      <c r="C7" s="45"/>
      <c r="D7" s="45"/>
      <c r="E7" s="45"/>
      <c r="F7" s="45"/>
      <c r="G7" s="45"/>
      <c r="H7" s="45"/>
    </row>
    <row r="8" spans="1:8" x14ac:dyDescent="0.25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5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3" customHeight="1" x14ac:dyDescent="0.25">
      <c r="A10" s="46" t="s">
        <v>38</v>
      </c>
      <c r="B10" s="47"/>
      <c r="C10" s="39">
        <v>-9092</v>
      </c>
      <c r="D10" s="40"/>
      <c r="E10" s="50">
        <v>0</v>
      </c>
      <c r="F10" s="51"/>
      <c r="G10" s="50">
        <v>0</v>
      </c>
      <c r="H10" s="51"/>
    </row>
    <row r="11" spans="1:8" x14ac:dyDescent="0.25">
      <c r="A11" s="38" t="s">
        <v>39</v>
      </c>
      <c r="B11" s="38"/>
      <c r="C11" s="39">
        <v>0</v>
      </c>
      <c r="D11" s="40"/>
      <c r="E11" s="39">
        <f>-2173.89+91319.62+9270.47+11724.59-44.91</f>
        <v>110095.87999999999</v>
      </c>
      <c r="F11" s="40"/>
      <c r="G11" s="40">
        <v>0</v>
      </c>
      <c r="H11" s="40"/>
    </row>
    <row r="12" spans="1:8" x14ac:dyDescent="0.25">
      <c r="A12" s="38" t="s">
        <v>4</v>
      </c>
      <c r="B12" s="38"/>
      <c r="C12" s="39">
        <v>0</v>
      </c>
      <c r="D12" s="40"/>
      <c r="E12" s="39">
        <v>101024</v>
      </c>
      <c r="F12" s="40"/>
      <c r="G12" s="40">
        <v>0</v>
      </c>
      <c r="H12" s="40"/>
    </row>
    <row r="13" spans="1:8" ht="47.25" customHeight="1" x14ac:dyDescent="0.25">
      <c r="A13" s="38" t="s">
        <v>40</v>
      </c>
      <c r="B13" s="38"/>
      <c r="C13" s="39">
        <v>0</v>
      </c>
      <c r="D13" s="40"/>
      <c r="E13" s="40">
        <v>34123.599999999999</v>
      </c>
      <c r="F13" s="40"/>
      <c r="G13" s="40">
        <v>0</v>
      </c>
      <c r="H13" s="40"/>
    </row>
    <row r="14" spans="1:8" ht="40.5" customHeight="1" x14ac:dyDescent="0.25">
      <c r="A14" s="38" t="s">
        <v>41</v>
      </c>
      <c r="B14" s="38"/>
      <c r="C14" s="39">
        <v>0</v>
      </c>
      <c r="D14" s="40"/>
      <c r="E14" s="39">
        <v>49570</v>
      </c>
      <c r="F14" s="40"/>
      <c r="G14" s="40">
        <v>0</v>
      </c>
      <c r="H14" s="40"/>
    </row>
    <row r="15" spans="1:8" ht="70.5" customHeight="1" x14ac:dyDescent="0.25">
      <c r="A15" s="38" t="s">
        <v>89</v>
      </c>
      <c r="B15" s="38"/>
      <c r="C15" s="39">
        <f>C10+C11-C14</f>
        <v>-9092</v>
      </c>
      <c r="D15" s="40"/>
      <c r="E15" s="39">
        <v>0</v>
      </c>
      <c r="F15" s="40"/>
      <c r="G15" s="40">
        <v>0</v>
      </c>
      <c r="H15" s="40"/>
    </row>
    <row r="16" spans="1:8" s="6" customFormat="1" ht="68.25" hidden="1" customHeight="1" x14ac:dyDescent="0.2">
      <c r="A16" s="38" t="s">
        <v>90</v>
      </c>
      <c r="B16" s="38"/>
      <c r="C16" s="48">
        <f>C15-C13</f>
        <v>-9092</v>
      </c>
      <c r="D16" s="51"/>
      <c r="E16" s="50">
        <v>0</v>
      </c>
      <c r="F16" s="51"/>
      <c r="G16" s="50">
        <v>0</v>
      </c>
      <c r="H16" s="51"/>
    </row>
    <row r="17" spans="1:8" ht="13.5" customHeight="1" x14ac:dyDescent="0.25">
      <c r="A17" s="36"/>
      <c r="B17" s="36"/>
      <c r="C17" s="20"/>
      <c r="D17" s="20"/>
      <c r="E17" s="20"/>
      <c r="F17" s="20"/>
      <c r="G17" s="20"/>
      <c r="H17" s="20"/>
    </row>
    <row r="18" spans="1:8" ht="12.75" customHeight="1" x14ac:dyDescent="0.25">
      <c r="A18" s="36"/>
      <c r="B18" s="36"/>
      <c r="C18" s="20"/>
      <c r="D18" s="20"/>
      <c r="E18" s="20"/>
      <c r="F18" s="20"/>
      <c r="G18" s="20"/>
      <c r="H18" s="20"/>
    </row>
    <row r="19" spans="1:8" x14ac:dyDescent="0.25">
      <c r="A19" s="45" t="s">
        <v>9</v>
      </c>
      <c r="B19" s="45"/>
      <c r="C19" s="21"/>
      <c r="D19" s="21"/>
      <c r="E19" s="20"/>
      <c r="F19" s="20"/>
      <c r="G19" s="20"/>
      <c r="H19" s="20"/>
    </row>
    <row r="20" spans="1:8" x14ac:dyDescent="0.25">
      <c r="A20" s="21"/>
      <c r="B20" s="21"/>
      <c r="C20" s="21"/>
      <c r="D20" s="21"/>
      <c r="E20" s="20"/>
      <c r="F20" s="20"/>
      <c r="G20" s="20"/>
      <c r="H20" s="20"/>
    </row>
    <row r="21" spans="1:8" x14ac:dyDescent="0.25">
      <c r="A21" s="45" t="s">
        <v>10</v>
      </c>
      <c r="B21" s="45"/>
      <c r="C21" s="45"/>
      <c r="D21" s="45"/>
      <c r="E21" s="20"/>
      <c r="F21" s="20"/>
      <c r="G21" s="20"/>
      <c r="H21" s="20"/>
    </row>
    <row r="22" spans="1:8" x14ac:dyDescent="0.25">
      <c r="A22" s="21"/>
      <c r="B22" s="21"/>
      <c r="C22" s="21"/>
      <c r="D22" s="21"/>
      <c r="E22" s="20"/>
      <c r="F22" s="20"/>
      <c r="G22" s="20"/>
      <c r="H22" s="20"/>
    </row>
    <row r="23" spans="1:8" x14ac:dyDescent="0.25">
      <c r="A23" s="45" t="s">
        <v>29</v>
      </c>
      <c r="B23" s="45"/>
      <c r="C23" s="21"/>
      <c r="D23" s="21"/>
      <c r="E23" s="20"/>
      <c r="F23" s="20"/>
      <c r="G23" s="20"/>
      <c r="H23" s="20"/>
    </row>
    <row r="24" spans="1:8" x14ac:dyDescent="0.25">
      <c r="A24" s="21"/>
      <c r="B24" s="21"/>
      <c r="C24" s="21"/>
      <c r="D24" s="21"/>
      <c r="E24" s="20"/>
      <c r="F24" s="20"/>
      <c r="G24" s="20"/>
      <c r="H24" s="20"/>
    </row>
    <row r="25" spans="1:8" x14ac:dyDescent="0.25">
      <c r="A25" s="21"/>
      <c r="B25" s="21"/>
      <c r="C25" s="21"/>
      <c r="D25" s="21"/>
      <c r="E25" s="20"/>
      <c r="F25" s="20"/>
      <c r="G25" s="20"/>
      <c r="H25" s="20"/>
    </row>
    <row r="26" spans="1:8" x14ac:dyDescent="0.25">
      <c r="A26" s="20"/>
      <c r="B26" s="20"/>
      <c r="C26" s="20"/>
      <c r="D26" s="20"/>
      <c r="E26" s="20"/>
      <c r="F26" s="20"/>
      <c r="G26" s="20"/>
      <c r="H26" s="20"/>
    </row>
    <row r="27" spans="1:8" x14ac:dyDescent="0.25">
      <c r="A27" s="20"/>
      <c r="B27" s="20"/>
      <c r="C27" s="20"/>
      <c r="D27" s="20"/>
      <c r="E27" s="20"/>
      <c r="F27" s="20"/>
      <c r="G27" s="20"/>
      <c r="H27" s="20"/>
    </row>
    <row r="28" spans="1:8" x14ac:dyDescent="0.25">
      <c r="A28" s="20"/>
      <c r="B28" s="20"/>
      <c r="C28" s="32"/>
      <c r="D28" s="32"/>
      <c r="E28" s="32"/>
      <c r="F28" s="32"/>
      <c r="G28" s="32"/>
      <c r="H28" s="32"/>
    </row>
    <row r="29" spans="1:8" x14ac:dyDescent="0.25">
      <c r="A29" s="20"/>
      <c r="B29" s="20"/>
      <c r="C29" s="32"/>
      <c r="D29" s="32"/>
      <c r="E29" s="32"/>
      <c r="F29" s="32"/>
      <c r="G29" s="32"/>
      <c r="H29" s="32"/>
    </row>
  </sheetData>
  <mergeCells count="42">
    <mergeCell ref="A9:B9"/>
    <mergeCell ref="C9:D9"/>
    <mergeCell ref="E9:F9"/>
    <mergeCell ref="G9:H9"/>
    <mergeCell ref="A1:H1"/>
    <mergeCell ref="A2:H2"/>
    <mergeCell ref="A3:H3"/>
    <mergeCell ref="A5:H5"/>
    <mergeCell ref="A7:H7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E16:F16"/>
    <mergeCell ref="G16:H16"/>
    <mergeCell ref="A17:B17"/>
    <mergeCell ref="A18:B18"/>
    <mergeCell ref="A14:B14"/>
    <mergeCell ref="C14:D14"/>
    <mergeCell ref="E14:F14"/>
    <mergeCell ref="G14:H14"/>
    <mergeCell ref="A15:B15"/>
    <mergeCell ref="C15:D15"/>
    <mergeCell ref="E15:F15"/>
    <mergeCell ref="G15:H15"/>
    <mergeCell ref="A19:B19"/>
    <mergeCell ref="A21:D21"/>
    <mergeCell ref="A23:B23"/>
    <mergeCell ref="A16:B16"/>
    <mergeCell ref="C16:D16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C000"/>
  </sheetPr>
  <dimension ref="A1:H25"/>
  <sheetViews>
    <sheetView view="pageBreakPreview" topLeftCell="A10" zoomScale="90" zoomScaleNormal="100" zoomScaleSheetLayoutView="90" workbookViewId="0">
      <selection activeCell="C10" sqref="C10:D10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119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7.75" customHeight="1" x14ac:dyDescent="0.2">
      <c r="A10" s="46" t="s">
        <v>23</v>
      </c>
      <c r="B10" s="47"/>
      <c r="C10" s="39">
        <v>-916498.42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106925.42+111060.4</f>
        <v>217985.82</v>
      </c>
      <c r="D11" s="40"/>
      <c r="E11" s="39">
        <f>115019.82+115832.53+21597.75+27712.72+115017.05+116844.96+22018.5+28183.68</f>
        <v>562227.01000000013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357560.24+376463.24-E12</f>
        <v>171796.46999999986</v>
      </c>
      <c r="D12" s="40"/>
      <c r="E12" s="39">
        <f>E11</f>
        <v>562227.01000000013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f>242770.1+160232.21</f>
        <v>403002.31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225593</v>
      </c>
      <c r="D14" s="40"/>
      <c r="E14" s="39">
        <f>E11</f>
        <v>562227.01000000013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-924105.60000000009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C000"/>
  </sheetPr>
  <dimension ref="A1:H25"/>
  <sheetViews>
    <sheetView view="pageBreakPreview" topLeftCell="A10" zoomScale="90" zoomScaleNormal="100" zoomScaleSheetLayoutView="90" workbookViewId="0">
      <selection activeCell="C16" sqref="C16"/>
    </sheetView>
  </sheetViews>
  <sheetFormatPr defaultRowHeight="12.75" x14ac:dyDescent="0.2"/>
  <cols>
    <col min="2" max="2" width="16.5703125" customWidth="1"/>
    <col min="3" max="3" width="12.140625" bestFit="1" customWidth="1"/>
  </cols>
  <sheetData>
    <row r="1" spans="1:8" ht="15.75" x14ac:dyDescent="0.2">
      <c r="A1" s="44" t="s">
        <v>18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122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39">
        <v>40105.14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126999.63</v>
      </c>
      <c r="D11" s="40"/>
      <c r="E11" s="39">
        <f>147230.06+155062.25</f>
        <v>302292.31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399131.03-E12</f>
        <v>96838.72000000003</v>
      </c>
      <c r="D12" s="40"/>
      <c r="E12" s="39">
        <f>E11</f>
        <v>302292.31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312873.76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50585</v>
      </c>
      <c r="D14" s="40"/>
      <c r="E14" s="39">
        <f>E11</f>
        <v>302292.31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116519.77000000002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5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C000"/>
  </sheetPr>
  <dimension ref="A1:H25"/>
  <sheetViews>
    <sheetView view="pageBreakPreview" topLeftCell="A8" zoomScale="90" zoomScaleNormal="100" zoomScaleSheetLayoutView="90" workbookViewId="0">
      <selection activeCell="C12" sqref="C12:D12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19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123</v>
      </c>
      <c r="B2" s="35"/>
      <c r="C2" s="35"/>
      <c r="D2" s="35"/>
      <c r="E2" s="35"/>
      <c r="F2" s="35"/>
      <c r="G2" s="35"/>
      <c r="H2" s="35"/>
    </row>
    <row r="3" spans="1:8" ht="15" customHeight="1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-70421.210000000006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223291.53</v>
      </c>
      <c r="D11" s="40"/>
      <c r="E11" s="39">
        <f>266939.98+274342.21+44418.75+44997.52</f>
        <v>630698.46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854122.55-E12</f>
        <v>223424.09000000008</v>
      </c>
      <c r="D12" s="40"/>
      <c r="E12" s="39">
        <f>E11</f>
        <v>630698.46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261289.02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488798</v>
      </c>
      <c r="D14" s="40"/>
      <c r="E14" s="39">
        <f>E11</f>
        <v>630698.46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-335927.68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C000"/>
  </sheetPr>
  <dimension ref="A1:H25"/>
  <sheetViews>
    <sheetView view="pageBreakPreview" topLeftCell="A10" zoomScale="90" zoomScaleNormal="100" zoomScaleSheetLayoutView="90" workbookViewId="0">
      <selection activeCell="D8" sqref="D8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20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124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.75" customHeight="1" x14ac:dyDescent="0.2">
      <c r="A10" s="46" t="s">
        <v>23</v>
      </c>
      <c r="B10" s="47"/>
      <c r="C10" s="39">
        <v>193728.76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f>81502.26+84568.44</f>
        <v>166070.70000000001</v>
      </c>
      <c r="D11" s="40"/>
      <c r="E11" s="39">
        <f>194784.96+207833.97+31846.21+30334.56</f>
        <v>464799.7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632052.07-E12</f>
        <v>167252.36999999994</v>
      </c>
      <c r="D12" s="40"/>
      <c r="E12" s="39">
        <f>E11</f>
        <v>464799.7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229512.99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183877</v>
      </c>
      <c r="D14" s="40"/>
      <c r="E14" s="39">
        <f>E11</f>
        <v>464799.7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175922.46000000002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0"/>
      <c r="F25" s="20"/>
      <c r="G25" s="20"/>
      <c r="H25" s="20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C000"/>
  </sheetPr>
  <dimension ref="A1:H32"/>
  <sheetViews>
    <sheetView view="pageBreakPreview" topLeftCell="A7" zoomScale="90" zoomScaleNormal="100" zoomScaleSheetLayoutView="90" workbookViewId="0">
      <selection activeCell="E4" sqref="E4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21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125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-26209.66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84090.61</v>
      </c>
      <c r="D11" s="40"/>
      <c r="E11" s="39">
        <f>100908.72+106132.79</f>
        <v>207041.51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300561.81-E12</f>
        <v>93520.299999999988</v>
      </c>
      <c r="D12" s="40"/>
      <c r="E12" s="39">
        <f>E11</f>
        <v>207041.51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47485.36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249960</v>
      </c>
      <c r="D14" s="40"/>
      <c r="E14" s="39">
        <f>E11</f>
        <v>207041.51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-192079.05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1"/>
      <c r="F18" s="21"/>
      <c r="G18" s="20"/>
      <c r="H18" s="20"/>
    </row>
    <row r="19" spans="1:8" ht="15.75" x14ac:dyDescent="0.2">
      <c r="A19" s="21"/>
      <c r="B19" s="21"/>
      <c r="C19" s="21"/>
      <c r="D19" s="21"/>
      <c r="E19" s="21"/>
      <c r="F19" s="21"/>
      <c r="G19" s="20"/>
      <c r="H19" s="20"/>
    </row>
    <row r="20" spans="1:8" ht="15.75" x14ac:dyDescent="0.2">
      <c r="A20" s="21"/>
      <c r="B20" s="21"/>
      <c r="C20" s="21"/>
      <c r="D20" s="21"/>
      <c r="E20" s="21"/>
      <c r="F20" s="21"/>
      <c r="G20" s="20"/>
      <c r="H20" s="20"/>
    </row>
    <row r="21" spans="1:8" ht="15.75" x14ac:dyDescent="0.2">
      <c r="A21" s="45"/>
      <c r="B21" s="45"/>
      <c r="C21" s="21"/>
      <c r="D21" s="21"/>
      <c r="E21" s="21"/>
      <c r="F21" s="21"/>
      <c r="G21" s="20"/>
      <c r="H21" s="20"/>
    </row>
    <row r="22" spans="1:8" ht="15.75" x14ac:dyDescent="0.2">
      <c r="A22" s="21"/>
      <c r="B22" s="21"/>
      <c r="C22" s="21"/>
      <c r="D22" s="21"/>
      <c r="E22" s="21"/>
      <c r="F22" s="21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1"/>
      <c r="F23" s="21"/>
      <c r="G23" s="20"/>
      <c r="H23" s="20"/>
    </row>
    <row r="24" spans="1:8" ht="15.75" x14ac:dyDescent="0.2">
      <c r="A24" s="21"/>
      <c r="B24" s="21"/>
      <c r="C24" s="21"/>
      <c r="D24" s="21"/>
      <c r="E24" s="21"/>
      <c r="F24" s="21"/>
      <c r="G24" s="20"/>
      <c r="H24" s="20"/>
    </row>
    <row r="25" spans="1:8" ht="15.75" x14ac:dyDescent="0.2">
      <c r="A25" s="45" t="s">
        <v>29</v>
      </c>
      <c r="B25" s="45"/>
      <c r="C25" s="21"/>
      <c r="D25" s="21"/>
      <c r="E25" s="21"/>
      <c r="F25" s="21"/>
      <c r="G25" s="20"/>
      <c r="H25" s="20"/>
    </row>
    <row r="26" spans="1:8" ht="15.75" x14ac:dyDescent="0.2">
      <c r="A26" s="21"/>
      <c r="B26" s="21"/>
      <c r="C26" s="21"/>
      <c r="D26" s="21"/>
      <c r="E26" s="21"/>
      <c r="F26" s="21"/>
      <c r="G26" s="20"/>
      <c r="H26" s="20"/>
    </row>
    <row r="27" spans="1:8" ht="15.75" x14ac:dyDescent="0.2">
      <c r="A27" s="21"/>
      <c r="B27" s="21"/>
      <c r="C27" s="21"/>
      <c r="D27" s="21"/>
      <c r="E27" s="21"/>
      <c r="F27" s="21"/>
      <c r="G27" s="20"/>
      <c r="H27" s="20"/>
    </row>
    <row r="28" spans="1:8" ht="15.75" x14ac:dyDescent="0.2">
      <c r="A28" s="21"/>
      <c r="B28" s="45" t="s">
        <v>76</v>
      </c>
      <c r="C28" s="45"/>
      <c r="D28" s="45"/>
      <c r="E28" s="45"/>
      <c r="F28" s="45"/>
      <c r="G28" s="35" t="s">
        <v>77</v>
      </c>
      <c r="H28" s="35"/>
    </row>
    <row r="29" spans="1:8" ht="15.75" x14ac:dyDescent="0.2">
      <c r="A29" s="21"/>
      <c r="B29" s="21"/>
      <c r="C29" s="21"/>
      <c r="D29" s="21"/>
      <c r="E29" s="21"/>
      <c r="F29" s="21"/>
      <c r="G29" s="20"/>
      <c r="H29" s="20"/>
    </row>
    <row r="30" spans="1:8" ht="15.75" x14ac:dyDescent="0.2">
      <c r="A30" s="21"/>
      <c r="B30" s="21"/>
      <c r="C30" s="21"/>
      <c r="D30" s="21"/>
      <c r="E30" s="21"/>
      <c r="F30" s="21"/>
      <c r="G30" s="20"/>
      <c r="H30" s="20"/>
    </row>
    <row r="31" spans="1:8" ht="15.75" x14ac:dyDescent="0.2">
      <c r="A31" s="21"/>
      <c r="B31" s="21" t="s">
        <v>78</v>
      </c>
      <c r="C31" s="45" t="s">
        <v>79</v>
      </c>
      <c r="D31" s="45"/>
      <c r="E31" s="45"/>
      <c r="F31" s="21"/>
      <c r="G31" s="20"/>
      <c r="H31" s="20"/>
    </row>
    <row r="32" spans="1:8" x14ac:dyDescent="0.2">
      <c r="A32" s="23"/>
      <c r="B32" s="23"/>
      <c r="C32" s="23"/>
      <c r="D32" s="23"/>
      <c r="E32" s="23"/>
      <c r="F32" s="23"/>
    </row>
  </sheetData>
  <mergeCells count="42">
    <mergeCell ref="A1:H1"/>
    <mergeCell ref="A2:H2"/>
    <mergeCell ref="A5:H5"/>
    <mergeCell ref="A7:H7"/>
    <mergeCell ref="A3:H3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B28:F28"/>
    <mergeCell ref="G28:H28"/>
    <mergeCell ref="C31:E31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H25"/>
  <sheetViews>
    <sheetView view="pageBreakPreview" topLeftCell="A7" zoomScaleNormal="85" zoomScaleSheetLayoutView="100" workbookViewId="0">
      <selection activeCell="C13" sqref="C13:D13"/>
    </sheetView>
  </sheetViews>
  <sheetFormatPr defaultRowHeight="12.75" x14ac:dyDescent="0.2"/>
  <cols>
    <col min="2" max="2" width="16.140625" customWidth="1"/>
  </cols>
  <sheetData>
    <row r="1" spans="1:8" ht="15.75" x14ac:dyDescent="0.2">
      <c r="A1" s="44" t="s">
        <v>28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36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133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15.75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45.75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39">
        <v>24756.69</v>
      </c>
      <c r="D10" s="40"/>
      <c r="E10" s="50"/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90362.64</v>
      </c>
      <c r="D11" s="40"/>
      <c r="E11" s="39">
        <f>86194.32+84758.76+12529.56+16588.64</f>
        <v>200071.28000000003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316960.08-E12</f>
        <v>116888.79999999999</v>
      </c>
      <c r="D12" s="40"/>
      <c r="E12" s="39">
        <f>E11</f>
        <v>200071.28000000003</v>
      </c>
      <c r="F12" s="40"/>
      <c r="G12" s="40">
        <v>0</v>
      </c>
      <c r="H12" s="40"/>
    </row>
    <row r="13" spans="1:8" ht="48" customHeight="1" x14ac:dyDescent="0.2">
      <c r="A13" s="38" t="s">
        <v>5</v>
      </c>
      <c r="B13" s="38"/>
      <c r="C13" s="39">
        <v>112238.1</v>
      </c>
      <c r="D13" s="40"/>
      <c r="E13" s="40">
        <v>0</v>
      </c>
      <c r="F13" s="40"/>
      <c r="G13" s="40">
        <v>0</v>
      </c>
      <c r="H13" s="40"/>
    </row>
    <row r="14" spans="1:8" ht="33.75" customHeight="1" x14ac:dyDescent="0.2">
      <c r="A14" s="38" t="s">
        <v>6</v>
      </c>
      <c r="B14" s="38"/>
      <c r="C14" s="39">
        <v>20001</v>
      </c>
      <c r="D14" s="40"/>
      <c r="E14" s="39">
        <f>E12</f>
        <v>200071.28000000003</v>
      </c>
      <c r="F14" s="40"/>
      <c r="G14" s="40">
        <v>0</v>
      </c>
      <c r="H14" s="40"/>
    </row>
    <row r="15" spans="1:8" ht="93" customHeight="1" x14ac:dyDescent="0.2">
      <c r="A15" s="38" t="s">
        <v>11</v>
      </c>
      <c r="B15" s="38"/>
      <c r="C15" s="39">
        <f>C10+C11-C14</f>
        <v>95118.33</v>
      </c>
      <c r="D15" s="40"/>
      <c r="E15" s="40">
        <v>0</v>
      </c>
      <c r="F15" s="40"/>
      <c r="G15" s="40">
        <v>0</v>
      </c>
      <c r="H15" s="40"/>
    </row>
    <row r="16" spans="1:8" ht="15.75" x14ac:dyDescent="0.2">
      <c r="A16" s="36"/>
      <c r="B16" s="36"/>
      <c r="C16" s="27"/>
      <c r="D16" s="27"/>
      <c r="E16" s="27"/>
      <c r="F16" s="27"/>
      <c r="G16" s="27"/>
      <c r="H16" s="27"/>
    </row>
    <row r="17" spans="1:8" ht="15.75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29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FFC000"/>
  </sheetPr>
  <dimension ref="A1:H32"/>
  <sheetViews>
    <sheetView view="pageBreakPreview" topLeftCell="A10" zoomScale="90" zoomScaleNormal="100" zoomScaleSheetLayoutView="90" workbookViewId="0">
      <selection activeCell="C13" sqref="C13:D1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80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126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268382.32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274667.67</v>
      </c>
      <c r="D11" s="40"/>
      <c r="E11" s="39">
        <v>459497.86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761491.55-E12</f>
        <v>301993.69000000006</v>
      </c>
      <c r="D12" s="40"/>
      <c r="E12" s="39">
        <f>E11</f>
        <v>459497.86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277126.49</v>
      </c>
      <c r="D13" s="40"/>
      <c r="E13" s="39" t="s">
        <v>53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125325</v>
      </c>
      <c r="D14" s="40"/>
      <c r="E14" s="39">
        <f>E11</f>
        <v>459497.86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417724.99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81</v>
      </c>
      <c r="B25" s="45"/>
      <c r="C25" s="21"/>
      <c r="D25" s="21"/>
      <c r="E25" s="20"/>
      <c r="F25" s="20"/>
      <c r="G25" s="20"/>
      <c r="H25" s="20"/>
    </row>
    <row r="26" spans="1:8" ht="15.75" x14ac:dyDescent="0.2">
      <c r="A26" s="21"/>
      <c r="B26" s="21"/>
      <c r="C26" s="21"/>
      <c r="D26" s="21"/>
      <c r="E26" s="20"/>
      <c r="F26" s="20"/>
      <c r="G26" s="20"/>
      <c r="H26" s="20"/>
    </row>
    <row r="27" spans="1:8" ht="15.75" x14ac:dyDescent="0.2">
      <c r="A27" s="21"/>
      <c r="B27" s="21"/>
      <c r="C27" s="21"/>
      <c r="D27" s="21"/>
      <c r="E27" s="20"/>
      <c r="F27" s="20"/>
      <c r="G27" s="20"/>
      <c r="H27" s="20"/>
    </row>
    <row r="28" spans="1:8" ht="15.75" x14ac:dyDescent="0.2">
      <c r="A28" s="21"/>
      <c r="B28" s="21"/>
      <c r="C28" s="21"/>
      <c r="D28" s="21"/>
      <c r="E28" s="20"/>
      <c r="F28" s="20"/>
      <c r="G28" s="20"/>
      <c r="H28" s="20"/>
    </row>
    <row r="29" spans="1:8" ht="15.75" x14ac:dyDescent="0.2">
      <c r="A29" s="21"/>
      <c r="B29" s="21"/>
      <c r="C29" s="21"/>
      <c r="D29" s="21"/>
      <c r="E29" s="20"/>
      <c r="F29" s="20"/>
      <c r="G29" s="20"/>
      <c r="H29" s="20"/>
    </row>
    <row r="30" spans="1:8" ht="15.75" x14ac:dyDescent="0.2">
      <c r="A30" s="21"/>
      <c r="B30" s="21"/>
      <c r="C30" s="21"/>
      <c r="D30" s="21"/>
      <c r="E30" s="20"/>
      <c r="F30" s="20"/>
      <c r="G30" s="20"/>
      <c r="H30" s="20"/>
    </row>
    <row r="31" spans="1:8" ht="15.75" x14ac:dyDescent="0.2">
      <c r="A31" s="21"/>
      <c r="B31" s="21"/>
      <c r="C31" s="21"/>
      <c r="D31" s="21"/>
      <c r="E31" s="20"/>
      <c r="F31" s="20"/>
      <c r="G31" s="20"/>
      <c r="H31" s="20"/>
    </row>
    <row r="32" spans="1:8" ht="15.75" x14ac:dyDescent="0.2">
      <c r="A32" s="45" t="s">
        <v>82</v>
      </c>
      <c r="B32" s="45"/>
      <c r="C32" s="45"/>
      <c r="D32" s="21"/>
      <c r="E32" s="20"/>
      <c r="F32" s="20"/>
      <c r="G32" s="20"/>
      <c r="H32" s="20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FFC000"/>
  </sheetPr>
  <dimension ref="A1:H32"/>
  <sheetViews>
    <sheetView view="pageBreakPreview" topLeftCell="A7" zoomScale="90" zoomScaleNormal="100" zoomScaleSheetLayoutView="90" workbookViewId="0">
      <selection activeCell="E13" sqref="E13:F13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83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143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0"/>
      <c r="B4" s="20"/>
      <c r="C4" s="20"/>
      <c r="D4" s="20"/>
      <c r="E4" s="20"/>
      <c r="F4" s="20"/>
      <c r="G4" s="20"/>
      <c r="H4" s="20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0"/>
      <c r="B6" s="20"/>
      <c r="C6" s="20"/>
      <c r="D6" s="20"/>
      <c r="E6" s="20"/>
      <c r="F6" s="20"/>
      <c r="G6" s="20"/>
      <c r="H6" s="20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0"/>
      <c r="B8" s="20"/>
      <c r="C8" s="20"/>
      <c r="D8" s="20"/>
      <c r="E8" s="20"/>
      <c r="F8" s="20"/>
      <c r="G8" s="20"/>
      <c r="H8" s="20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5534.28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f>468110.12+489600.9+86739.92+89603.08</f>
        <v>1134054.02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f>1516946.83-423771.18</f>
        <v>1093175.6500000001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888120.67</v>
      </c>
      <c r="D13" s="40"/>
      <c r="E13" s="39"/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40254</v>
      </c>
      <c r="D14" s="40"/>
      <c r="E14" s="39">
        <f>E11</f>
        <v>1134054.02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-34719.72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0"/>
      <c r="D16" s="20"/>
      <c r="E16" s="20"/>
      <c r="F16" s="20"/>
      <c r="G16" s="20"/>
      <c r="H16" s="20"/>
    </row>
    <row r="17" spans="1:8" ht="12.75" customHeight="1" x14ac:dyDescent="0.2">
      <c r="A17" s="36"/>
      <c r="B17" s="36"/>
      <c r="C17" s="20"/>
      <c r="D17" s="20"/>
      <c r="E17" s="20"/>
      <c r="F17" s="20"/>
      <c r="G17" s="20"/>
      <c r="H17" s="20"/>
    </row>
    <row r="18" spans="1:8" ht="15.75" x14ac:dyDescent="0.2">
      <c r="A18" s="45" t="s">
        <v>9</v>
      </c>
      <c r="B18" s="45"/>
      <c r="C18" s="21"/>
      <c r="D18" s="21"/>
      <c r="E18" s="20"/>
      <c r="F18" s="20"/>
      <c r="G18" s="20"/>
      <c r="H18" s="20"/>
    </row>
    <row r="19" spans="1:8" ht="15.75" x14ac:dyDescent="0.2">
      <c r="A19" s="21"/>
      <c r="B19" s="21"/>
      <c r="C19" s="21"/>
      <c r="D19" s="21"/>
      <c r="E19" s="20"/>
      <c r="F19" s="20"/>
      <c r="G19" s="20"/>
      <c r="H19" s="20"/>
    </row>
    <row r="20" spans="1:8" ht="15.75" x14ac:dyDescent="0.2">
      <c r="A20" s="21"/>
      <c r="B20" s="21"/>
      <c r="C20" s="21"/>
      <c r="D20" s="21"/>
      <c r="E20" s="20"/>
      <c r="F20" s="20"/>
      <c r="G20" s="20"/>
      <c r="H20" s="20"/>
    </row>
    <row r="21" spans="1:8" ht="15.75" x14ac:dyDescent="0.2">
      <c r="A21" s="45"/>
      <c r="B21" s="45"/>
      <c r="C21" s="21"/>
      <c r="D21" s="21"/>
      <c r="E21" s="20"/>
      <c r="F21" s="20"/>
      <c r="G21" s="20"/>
      <c r="H21" s="20"/>
    </row>
    <row r="22" spans="1:8" ht="15.75" x14ac:dyDescent="0.2">
      <c r="A22" s="21"/>
      <c r="B22" s="21"/>
      <c r="C22" s="21"/>
      <c r="D22" s="21"/>
      <c r="E22" s="20"/>
      <c r="F22" s="20"/>
      <c r="G22" s="20"/>
      <c r="H22" s="20"/>
    </row>
    <row r="23" spans="1:8" ht="15.75" x14ac:dyDescent="0.2">
      <c r="A23" s="45" t="s">
        <v>10</v>
      </c>
      <c r="B23" s="45"/>
      <c r="C23" s="45"/>
      <c r="D23" s="45"/>
      <c r="E23" s="20"/>
      <c r="F23" s="20"/>
      <c r="G23" s="20"/>
      <c r="H23" s="20"/>
    </row>
    <row r="24" spans="1:8" ht="15.75" x14ac:dyDescent="0.2">
      <c r="A24" s="21"/>
      <c r="B24" s="21"/>
      <c r="C24" s="21"/>
      <c r="D24" s="21"/>
      <c r="E24" s="20"/>
      <c r="F24" s="20"/>
      <c r="G24" s="20"/>
      <c r="H24" s="20"/>
    </row>
    <row r="25" spans="1:8" ht="15.75" x14ac:dyDescent="0.2">
      <c r="A25" s="45" t="s">
        <v>81</v>
      </c>
      <c r="B25" s="45"/>
      <c r="C25" s="21"/>
      <c r="D25" s="21"/>
      <c r="E25" s="20"/>
      <c r="F25" s="20"/>
      <c r="G25" s="20"/>
      <c r="H25" s="20"/>
    </row>
    <row r="26" spans="1:8" ht="15.75" x14ac:dyDescent="0.2">
      <c r="A26" s="20"/>
      <c r="B26" s="20"/>
      <c r="C26" s="20"/>
      <c r="D26" s="20"/>
      <c r="E26" s="20"/>
      <c r="F26" s="20"/>
      <c r="G26" s="20"/>
      <c r="H26" s="20"/>
    </row>
    <row r="27" spans="1:8" ht="15.75" x14ac:dyDescent="0.2">
      <c r="A27" s="20"/>
      <c r="B27" s="20"/>
      <c r="C27" s="20"/>
      <c r="D27" s="20"/>
      <c r="E27" s="20"/>
      <c r="F27" s="20"/>
      <c r="G27" s="20"/>
      <c r="H27" s="20"/>
    </row>
    <row r="28" spans="1:8" ht="15.75" x14ac:dyDescent="0.2">
      <c r="A28" s="20"/>
      <c r="B28" s="20"/>
      <c r="C28" s="20"/>
      <c r="D28" s="20"/>
      <c r="E28" s="20"/>
      <c r="F28" s="20"/>
      <c r="G28" s="20"/>
      <c r="H28" s="20"/>
    </row>
    <row r="29" spans="1:8" ht="15.75" x14ac:dyDescent="0.2">
      <c r="A29" s="20"/>
      <c r="B29" s="20"/>
      <c r="C29" s="20"/>
      <c r="D29" s="20"/>
      <c r="E29" s="20"/>
      <c r="F29" s="20"/>
      <c r="G29" s="20"/>
      <c r="H29" s="20"/>
    </row>
    <row r="30" spans="1:8" ht="15.75" x14ac:dyDescent="0.2">
      <c r="A30" s="20"/>
      <c r="B30" s="20"/>
      <c r="C30" s="20"/>
      <c r="D30" s="20"/>
      <c r="E30" s="20"/>
      <c r="F30" s="20"/>
      <c r="G30" s="20"/>
      <c r="H30" s="20"/>
    </row>
    <row r="31" spans="1:8" ht="15.75" x14ac:dyDescent="0.2">
      <c r="A31" s="20"/>
      <c r="B31" s="20"/>
      <c r="C31" s="20"/>
      <c r="D31" s="20"/>
      <c r="E31" s="20"/>
      <c r="F31" s="20"/>
      <c r="G31" s="20"/>
      <c r="H31" s="20"/>
    </row>
    <row r="32" spans="1:8" ht="15.75" x14ac:dyDescent="0.2">
      <c r="A32" s="35" t="s">
        <v>82</v>
      </c>
      <c r="B32" s="35"/>
      <c r="C32" s="35"/>
      <c r="D32" s="20"/>
      <c r="E32" s="20"/>
      <c r="F32" s="20"/>
      <c r="G32" s="20"/>
      <c r="H32" s="20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FFC000"/>
  </sheetPr>
  <dimension ref="A1:H32"/>
  <sheetViews>
    <sheetView view="pageBreakPreview" zoomScale="85" zoomScaleNormal="100" zoomScaleSheetLayoutView="85" workbookViewId="0">
      <selection activeCell="E12" sqref="E12:F12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84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144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30" customHeight="1" x14ac:dyDescent="0.2">
      <c r="A10" s="46" t="s">
        <v>23</v>
      </c>
      <c r="B10" s="47"/>
      <c r="C10" s="39">
        <v>8901.4699999999993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f>295117.7+307869.26+55273.08+56590.59</f>
        <v>714850.62999999989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f>887733.99-260483.73</f>
        <v>627250.26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510052.99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8684</v>
      </c>
      <c r="D14" s="40"/>
      <c r="E14" s="39">
        <f>E11</f>
        <v>714850.62999999989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217.46999999999935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81</v>
      </c>
      <c r="B25" s="45"/>
      <c r="C25" s="28"/>
      <c r="D25" s="28"/>
      <c r="E25" s="27"/>
      <c r="F25" s="27"/>
      <c r="G25" s="27"/>
      <c r="H25" s="27"/>
    </row>
    <row r="26" spans="1:8" ht="15.75" x14ac:dyDescent="0.2">
      <c r="A26" s="27"/>
      <c r="B26" s="27"/>
      <c r="C26" s="27"/>
      <c r="D26" s="27"/>
      <c r="E26" s="27"/>
      <c r="F26" s="27"/>
      <c r="G26" s="27"/>
      <c r="H26" s="27"/>
    </row>
    <row r="27" spans="1:8" ht="15.75" x14ac:dyDescent="0.2">
      <c r="A27" s="27"/>
      <c r="B27" s="27"/>
      <c r="C27" s="27"/>
      <c r="D27" s="27"/>
      <c r="E27" s="27"/>
      <c r="F27" s="27"/>
      <c r="G27" s="27"/>
      <c r="H27" s="27"/>
    </row>
    <row r="28" spans="1:8" ht="15.75" x14ac:dyDescent="0.2">
      <c r="A28" s="27"/>
      <c r="B28" s="27"/>
      <c r="C28" s="27"/>
      <c r="D28" s="27"/>
      <c r="E28" s="27"/>
      <c r="F28" s="27"/>
      <c r="G28" s="27"/>
      <c r="H28" s="27"/>
    </row>
    <row r="29" spans="1:8" ht="15.75" x14ac:dyDescent="0.2">
      <c r="A29" s="27"/>
      <c r="B29" s="27"/>
      <c r="C29" s="27"/>
      <c r="D29" s="27"/>
      <c r="E29" s="27"/>
      <c r="F29" s="27"/>
      <c r="G29" s="27"/>
      <c r="H29" s="27"/>
    </row>
    <row r="32" spans="1:8" x14ac:dyDescent="0.2">
      <c r="A32" s="73"/>
      <c r="B32" s="73"/>
      <c r="C32" s="73"/>
    </row>
  </sheetData>
  <mergeCells count="40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G13:H13"/>
    <mergeCell ref="E13:F13"/>
    <mergeCell ref="A14:B14"/>
    <mergeCell ref="C14:D14"/>
    <mergeCell ref="E14:F14"/>
    <mergeCell ref="G14:H14"/>
    <mergeCell ref="A15:B15"/>
    <mergeCell ref="C15:D15"/>
    <mergeCell ref="E15:F15"/>
    <mergeCell ref="G15:H15"/>
    <mergeCell ref="A32:C32"/>
    <mergeCell ref="A16:B16"/>
    <mergeCell ref="A17:B17"/>
    <mergeCell ref="A18:B18"/>
    <mergeCell ref="A21:B21"/>
    <mergeCell ref="A23:D23"/>
    <mergeCell ref="A25:B2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H24"/>
  <sheetViews>
    <sheetView view="pageBreakPreview" topLeftCell="A7" zoomScale="90" zoomScaleNormal="100" zoomScaleSheetLayoutView="90" workbookViewId="0">
      <selection activeCell="C13" sqref="C13:D13"/>
    </sheetView>
  </sheetViews>
  <sheetFormatPr defaultRowHeight="12.75" x14ac:dyDescent="0.2"/>
  <cols>
    <col min="2" max="2" width="16.5703125" customWidth="1"/>
  </cols>
  <sheetData>
    <row r="1" spans="1:8" ht="15.75" x14ac:dyDescent="0.25">
      <c r="A1" s="55" t="s">
        <v>12</v>
      </c>
      <c r="B1" s="55"/>
      <c r="C1" s="55"/>
      <c r="D1" s="55"/>
      <c r="E1" s="55"/>
      <c r="F1" s="55"/>
      <c r="G1" s="55"/>
      <c r="H1" s="55"/>
    </row>
    <row r="2" spans="1:8" ht="15.75" x14ac:dyDescent="0.25">
      <c r="A2" s="56" t="s">
        <v>134</v>
      </c>
      <c r="B2" s="56"/>
      <c r="C2" s="56"/>
      <c r="D2" s="56"/>
      <c r="E2" s="56"/>
      <c r="F2" s="56"/>
      <c r="G2" s="56"/>
      <c r="H2" s="56"/>
    </row>
    <row r="3" spans="1:8" ht="15.75" x14ac:dyDescent="0.25">
      <c r="A3" s="55" t="s">
        <v>94</v>
      </c>
      <c r="B3" s="55"/>
      <c r="C3" s="55"/>
      <c r="D3" s="55"/>
      <c r="E3" s="55"/>
      <c r="F3" s="55"/>
      <c r="G3" s="55"/>
      <c r="H3" s="55"/>
    </row>
    <row r="4" spans="1:8" ht="15.75" x14ac:dyDescent="0.25">
      <c r="A4" s="5"/>
      <c r="B4" s="5"/>
      <c r="C4" s="5"/>
      <c r="D4" s="5"/>
      <c r="E4" s="5"/>
      <c r="F4" s="5"/>
      <c r="G4" s="5"/>
      <c r="H4" s="5"/>
    </row>
    <row r="5" spans="1:8" ht="33.75" customHeight="1" x14ac:dyDescent="0.2">
      <c r="A5" s="36" t="s">
        <v>37</v>
      </c>
      <c r="B5" s="36"/>
      <c r="C5" s="36"/>
      <c r="D5" s="36"/>
      <c r="E5" s="36"/>
      <c r="F5" s="36"/>
      <c r="G5" s="36"/>
      <c r="H5" s="36"/>
    </row>
    <row r="6" spans="1:8" ht="15.75" x14ac:dyDescent="0.25">
      <c r="A6" s="5"/>
      <c r="B6" s="5"/>
      <c r="C6" s="5"/>
      <c r="D6" s="5"/>
      <c r="E6" s="5"/>
      <c r="F6" s="5"/>
      <c r="G6" s="5"/>
      <c r="H6" s="5"/>
    </row>
    <row r="7" spans="1:8" ht="15.75" x14ac:dyDescent="0.25">
      <c r="A7" s="57"/>
      <c r="B7" s="57"/>
      <c r="C7" s="57"/>
      <c r="D7" s="57"/>
      <c r="E7" s="57"/>
      <c r="F7" s="57"/>
      <c r="G7" s="57"/>
      <c r="H7" s="57"/>
    </row>
    <row r="8" spans="1:8" ht="15.75" x14ac:dyDescent="0.25">
      <c r="A8" s="5"/>
      <c r="B8" s="5"/>
      <c r="C8" s="5"/>
      <c r="D8" s="5"/>
      <c r="E8" s="5"/>
      <c r="F8" s="5"/>
      <c r="G8" s="5"/>
      <c r="H8" s="5"/>
    </row>
    <row r="9" spans="1:8" ht="54" customHeight="1" x14ac:dyDescent="0.25">
      <c r="A9" s="54"/>
      <c r="B9" s="54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5">
      <c r="A10" s="58" t="s">
        <v>38</v>
      </c>
      <c r="B10" s="59"/>
      <c r="C10" s="39">
        <v>209767</v>
      </c>
      <c r="D10" s="40"/>
      <c r="E10" s="50">
        <v>0</v>
      </c>
      <c r="F10" s="51"/>
      <c r="G10" s="50">
        <v>0</v>
      </c>
      <c r="H10" s="51"/>
    </row>
    <row r="11" spans="1:8" ht="15.75" x14ac:dyDescent="0.25">
      <c r="A11" s="60" t="s">
        <v>39</v>
      </c>
      <c r="B11" s="60"/>
      <c r="C11" s="41">
        <f>73700.02+65465.54</f>
        <v>139165.56</v>
      </c>
      <c r="D11" s="42"/>
      <c r="E11" s="41">
        <f>158932.22+179914.97+2400.48+69600+1200+2400</f>
        <v>414447.67</v>
      </c>
      <c r="F11" s="42"/>
      <c r="G11" s="40">
        <v>0</v>
      </c>
      <c r="H11" s="40"/>
    </row>
    <row r="12" spans="1:8" ht="15.75" x14ac:dyDescent="0.25">
      <c r="A12" s="60" t="s">
        <v>4</v>
      </c>
      <c r="B12" s="60"/>
      <c r="C12" s="39">
        <f>571586.39-E12</f>
        <v>157138.72000000003</v>
      </c>
      <c r="D12" s="40"/>
      <c r="E12" s="39">
        <f>E11</f>
        <v>414447.67</v>
      </c>
      <c r="F12" s="40"/>
      <c r="G12" s="40">
        <v>0</v>
      </c>
      <c r="H12" s="40"/>
    </row>
    <row r="13" spans="1:8" ht="47.25" customHeight="1" x14ac:dyDescent="0.25">
      <c r="A13" s="60" t="s">
        <v>40</v>
      </c>
      <c r="B13" s="60"/>
      <c r="C13" s="48">
        <v>341573.87</v>
      </c>
      <c r="D13" s="51"/>
      <c r="E13" s="40">
        <v>0</v>
      </c>
      <c r="F13" s="40"/>
      <c r="G13" s="40">
        <v>0</v>
      </c>
      <c r="H13" s="40"/>
    </row>
    <row r="14" spans="1:8" ht="33" customHeight="1" x14ac:dyDescent="0.25">
      <c r="A14" s="60" t="s">
        <v>41</v>
      </c>
      <c r="B14" s="60"/>
      <c r="C14" s="39">
        <v>169004.74</v>
      </c>
      <c r="D14" s="40"/>
      <c r="E14" s="39">
        <f>E12</f>
        <v>414447.67</v>
      </c>
      <c r="F14" s="40"/>
      <c r="G14" s="40">
        <v>0</v>
      </c>
      <c r="H14" s="40"/>
    </row>
    <row r="15" spans="1:8" ht="92.25" customHeight="1" x14ac:dyDescent="0.25">
      <c r="A15" s="60" t="s">
        <v>11</v>
      </c>
      <c r="B15" s="60"/>
      <c r="C15" s="39">
        <f>C10+C11-C14</f>
        <v>179927.82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5">
      <c r="A16" s="61"/>
      <c r="B16" s="61"/>
      <c r="C16" s="5"/>
      <c r="D16" s="5"/>
      <c r="E16" s="5"/>
      <c r="F16" s="5"/>
      <c r="G16" s="5"/>
      <c r="H16" s="5"/>
    </row>
    <row r="17" spans="1:8" ht="12.75" customHeight="1" x14ac:dyDescent="0.25">
      <c r="A17" s="61"/>
      <c r="B17" s="61"/>
      <c r="C17" s="5"/>
      <c r="D17" s="5"/>
      <c r="E17" s="5"/>
      <c r="F17" s="5"/>
      <c r="G17" s="5"/>
      <c r="H17" s="5"/>
    </row>
    <row r="18" spans="1:8" ht="15.75" x14ac:dyDescent="0.25">
      <c r="A18" s="62" t="s">
        <v>9</v>
      </c>
      <c r="B18" s="62"/>
      <c r="C18" s="5"/>
      <c r="D18" s="5"/>
      <c r="E18" s="5"/>
      <c r="F18" s="5"/>
      <c r="G18" s="5"/>
      <c r="H18" s="5"/>
    </row>
    <row r="19" spans="1:8" ht="15.75" x14ac:dyDescent="0.25">
      <c r="A19" s="30"/>
      <c r="B19" s="30"/>
      <c r="C19" s="5"/>
      <c r="D19" s="5"/>
      <c r="E19" s="5"/>
      <c r="F19" s="5"/>
      <c r="G19" s="5"/>
      <c r="H19" s="5"/>
    </row>
    <row r="20" spans="1:8" ht="15.75" x14ac:dyDescent="0.25">
      <c r="A20" s="30"/>
      <c r="B20" s="30"/>
      <c r="C20" s="5"/>
      <c r="D20" s="5"/>
      <c r="E20" s="5"/>
      <c r="F20" s="5"/>
      <c r="G20" s="5"/>
      <c r="H20" s="5"/>
    </row>
    <row r="21" spans="1:8" ht="15.75" x14ac:dyDescent="0.25">
      <c r="A21" s="30"/>
      <c r="B21" s="30"/>
      <c r="C21" s="5"/>
      <c r="D21" s="5"/>
      <c r="E21" s="5"/>
      <c r="F21" s="5"/>
      <c r="G21" s="5"/>
      <c r="H21" s="5"/>
    </row>
    <row r="22" spans="1:8" ht="15.75" x14ac:dyDescent="0.25">
      <c r="A22" s="62" t="s">
        <v>10</v>
      </c>
      <c r="B22" s="62"/>
      <c r="C22" s="62"/>
      <c r="D22" s="62"/>
      <c r="E22" s="5"/>
      <c r="F22" s="5"/>
      <c r="G22" s="5"/>
      <c r="H22" s="5"/>
    </row>
    <row r="23" spans="1:8" ht="15.75" x14ac:dyDescent="0.25">
      <c r="A23" s="30"/>
      <c r="B23" s="30"/>
      <c r="C23" s="5"/>
      <c r="D23" s="5"/>
      <c r="E23" s="5"/>
      <c r="F23" s="5"/>
      <c r="G23" s="5"/>
      <c r="H23" s="5"/>
    </row>
    <row r="24" spans="1:8" ht="15.75" x14ac:dyDescent="0.25">
      <c r="A24" s="62" t="s">
        <v>29</v>
      </c>
      <c r="B24" s="62"/>
      <c r="C24" s="5"/>
      <c r="D24" s="5"/>
      <c r="E24" s="5"/>
      <c r="F24" s="5"/>
      <c r="G24" s="5"/>
      <c r="H24" s="5"/>
    </row>
  </sheetData>
  <mergeCells count="38">
    <mergeCell ref="A1:H1"/>
    <mergeCell ref="A2:H2"/>
    <mergeCell ref="A3:H3"/>
    <mergeCell ref="A5:H5"/>
    <mergeCell ref="A7:H7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E15:F15"/>
    <mergeCell ref="G15:H15"/>
    <mergeCell ref="A16:B16"/>
    <mergeCell ref="A13:B13"/>
    <mergeCell ref="C13:D13"/>
    <mergeCell ref="E13:F13"/>
    <mergeCell ref="G13:H13"/>
    <mergeCell ref="E14:F14"/>
    <mergeCell ref="G14:H14"/>
    <mergeCell ref="A17:B17"/>
    <mergeCell ref="A18:B18"/>
    <mergeCell ref="A22:D22"/>
    <mergeCell ref="A24:B24"/>
    <mergeCell ref="A14:B14"/>
    <mergeCell ref="C14:D14"/>
    <mergeCell ref="A15:B15"/>
    <mergeCell ref="C15:D15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H25"/>
  <sheetViews>
    <sheetView view="pageBreakPreview" topLeftCell="A7" zoomScale="85" zoomScaleNormal="85" zoomScaleSheetLayoutView="85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13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42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94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9.25" customHeight="1" x14ac:dyDescent="0.2">
      <c r="A10" s="46" t="s">
        <v>23</v>
      </c>
      <c r="B10" s="47"/>
      <c r="C10" s="39">
        <v>-84249.14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37695.24</v>
      </c>
      <c r="D11" s="40"/>
      <c r="E11" s="39">
        <f>36044.46+38062.14</f>
        <v>74106.600000000006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103614.92-E12</f>
        <v>29508.319999999992</v>
      </c>
      <c r="D12" s="40"/>
      <c r="E12" s="39">
        <f>E11</f>
        <v>74106.600000000006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78864.39</v>
      </c>
      <c r="D13" s="40"/>
      <c r="E13" s="39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49099</v>
      </c>
      <c r="D14" s="40"/>
      <c r="E14" s="39">
        <f>E12</f>
        <v>74106.600000000006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-95652.9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29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H25"/>
  <sheetViews>
    <sheetView view="pageBreakPreview" topLeftCell="A8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14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135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-13261.18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0</v>
      </c>
      <c r="D11" s="40"/>
      <c r="E11" s="39">
        <v>130879.7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v>0</v>
      </c>
      <c r="D12" s="40"/>
      <c r="E12" s="39">
        <v>139900.07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34101.629999999997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29183.24</v>
      </c>
      <c r="D14" s="40"/>
      <c r="E14" s="39">
        <f>E11</f>
        <v>130879.7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-42444.42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31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H25"/>
  <sheetViews>
    <sheetView view="pageBreakPreview" topLeftCell="A7" zoomScale="90" zoomScaleNormal="85" zoomScaleSheetLayoutView="90" workbookViewId="0">
      <selection activeCell="C15" sqref="C15:D15"/>
    </sheetView>
  </sheetViews>
  <sheetFormatPr defaultRowHeight="12.75" x14ac:dyDescent="0.2"/>
  <cols>
    <col min="2" max="2" width="16.5703125" customWidth="1"/>
  </cols>
  <sheetData>
    <row r="1" spans="1:8" ht="15.75" x14ac:dyDescent="0.2">
      <c r="A1" s="44" t="s">
        <v>15</v>
      </c>
      <c r="B1" s="44"/>
      <c r="C1" s="44"/>
      <c r="D1" s="44"/>
      <c r="E1" s="44"/>
      <c r="F1" s="44"/>
      <c r="G1" s="44"/>
      <c r="H1" s="44"/>
    </row>
    <row r="2" spans="1:8" ht="15.75" x14ac:dyDescent="0.2">
      <c r="A2" s="35" t="s">
        <v>136</v>
      </c>
      <c r="B2" s="35"/>
      <c r="C2" s="35"/>
      <c r="D2" s="35"/>
      <c r="E2" s="35"/>
      <c r="F2" s="35"/>
      <c r="G2" s="35"/>
      <c r="H2" s="35"/>
    </row>
    <row r="3" spans="1:8" ht="15.75" x14ac:dyDescent="0.2">
      <c r="A3" s="44" t="s">
        <v>95</v>
      </c>
      <c r="B3" s="44"/>
      <c r="C3" s="44"/>
      <c r="D3" s="44"/>
      <c r="E3" s="44"/>
      <c r="F3" s="44"/>
      <c r="G3" s="44"/>
      <c r="H3" s="44"/>
    </row>
    <row r="4" spans="1:8" ht="15.75" x14ac:dyDescent="0.2">
      <c r="A4" s="27"/>
      <c r="B4" s="27"/>
      <c r="C4" s="27"/>
      <c r="D4" s="27"/>
      <c r="E4" s="27"/>
      <c r="F4" s="27"/>
      <c r="G4" s="27"/>
      <c r="H4" s="27"/>
    </row>
    <row r="5" spans="1:8" ht="33.75" customHeight="1" x14ac:dyDescent="0.2">
      <c r="A5" s="36" t="s">
        <v>7</v>
      </c>
      <c r="B5" s="36"/>
      <c r="C5" s="36"/>
      <c r="D5" s="36"/>
      <c r="E5" s="36"/>
      <c r="F5" s="36"/>
      <c r="G5" s="36"/>
      <c r="H5" s="36"/>
    </row>
    <row r="6" spans="1:8" ht="15.75" x14ac:dyDescent="0.2">
      <c r="A6" s="27"/>
      <c r="B6" s="27"/>
      <c r="C6" s="27"/>
      <c r="D6" s="27"/>
      <c r="E6" s="27"/>
      <c r="F6" s="27"/>
      <c r="G6" s="27"/>
      <c r="H6" s="27"/>
    </row>
    <row r="7" spans="1:8" ht="15.75" x14ac:dyDescent="0.2">
      <c r="A7" s="45" t="s">
        <v>8</v>
      </c>
      <c r="B7" s="45"/>
      <c r="C7" s="45"/>
      <c r="D7" s="45"/>
      <c r="E7" s="45"/>
      <c r="F7" s="45"/>
      <c r="G7" s="45"/>
      <c r="H7" s="45"/>
    </row>
    <row r="8" spans="1:8" ht="15.75" x14ac:dyDescent="0.2">
      <c r="A8" s="27"/>
      <c r="B8" s="27"/>
      <c r="C8" s="27"/>
      <c r="D8" s="27"/>
      <c r="E8" s="27"/>
      <c r="F8" s="27"/>
      <c r="G8" s="27"/>
      <c r="H8" s="27"/>
    </row>
    <row r="9" spans="1:8" ht="54" customHeight="1" x14ac:dyDescent="0.2">
      <c r="A9" s="40"/>
      <c r="B9" s="40"/>
      <c r="C9" s="43" t="s">
        <v>0</v>
      </c>
      <c r="D9" s="43"/>
      <c r="E9" s="43" t="s">
        <v>1</v>
      </c>
      <c r="F9" s="43"/>
      <c r="G9" s="43" t="s">
        <v>2</v>
      </c>
      <c r="H9" s="43"/>
    </row>
    <row r="10" spans="1:8" ht="28.5" customHeight="1" x14ac:dyDescent="0.2">
      <c r="A10" s="46" t="s">
        <v>23</v>
      </c>
      <c r="B10" s="47"/>
      <c r="C10" s="39">
        <v>-51699.93</v>
      </c>
      <c r="D10" s="40"/>
      <c r="E10" s="50">
        <v>0</v>
      </c>
      <c r="F10" s="51"/>
      <c r="G10" s="50">
        <v>0</v>
      </c>
      <c r="H10" s="51"/>
    </row>
    <row r="11" spans="1:8" ht="15.75" x14ac:dyDescent="0.2">
      <c r="A11" s="38" t="s">
        <v>3</v>
      </c>
      <c r="B11" s="38"/>
      <c r="C11" s="39">
        <v>13623.96</v>
      </c>
      <c r="D11" s="40"/>
      <c r="E11" s="39">
        <f>15610.02+16424.28</f>
        <v>32034.3</v>
      </c>
      <c r="F11" s="40"/>
      <c r="G11" s="40">
        <v>0</v>
      </c>
      <c r="H11" s="40"/>
    </row>
    <row r="12" spans="1:8" ht="15.75" x14ac:dyDescent="0.2">
      <c r="A12" s="38" t="s">
        <v>4</v>
      </c>
      <c r="B12" s="38"/>
      <c r="C12" s="39">
        <f>41797.14-E12</f>
        <v>9762.84</v>
      </c>
      <c r="D12" s="40"/>
      <c r="E12" s="39">
        <f>E11</f>
        <v>32034.3</v>
      </c>
      <c r="F12" s="40"/>
      <c r="G12" s="40">
        <v>0</v>
      </c>
      <c r="H12" s="40"/>
    </row>
    <row r="13" spans="1:8" ht="47.25" customHeight="1" x14ac:dyDescent="0.2">
      <c r="A13" s="38" t="s">
        <v>5</v>
      </c>
      <c r="B13" s="38"/>
      <c r="C13" s="39">
        <v>14436.14</v>
      </c>
      <c r="D13" s="40"/>
      <c r="E13" s="40">
        <v>0</v>
      </c>
      <c r="F13" s="40"/>
      <c r="G13" s="40">
        <v>0</v>
      </c>
      <c r="H13" s="40"/>
    </row>
    <row r="14" spans="1:8" ht="33" customHeight="1" x14ac:dyDescent="0.2">
      <c r="A14" s="38" t="s">
        <v>6</v>
      </c>
      <c r="B14" s="38"/>
      <c r="C14" s="39">
        <v>0</v>
      </c>
      <c r="D14" s="40"/>
      <c r="E14" s="39">
        <f>E12</f>
        <v>32034.3</v>
      </c>
      <c r="F14" s="40"/>
      <c r="G14" s="40">
        <v>0</v>
      </c>
      <c r="H14" s="40"/>
    </row>
    <row r="15" spans="1:8" ht="92.25" customHeight="1" x14ac:dyDescent="0.2">
      <c r="A15" s="38" t="s">
        <v>11</v>
      </c>
      <c r="B15" s="38"/>
      <c r="C15" s="39">
        <f>C10+C11-C14</f>
        <v>-38075.97</v>
      </c>
      <c r="D15" s="40"/>
      <c r="E15" s="40">
        <v>0</v>
      </c>
      <c r="F15" s="40"/>
      <c r="G15" s="40">
        <v>0</v>
      </c>
      <c r="H15" s="40"/>
    </row>
    <row r="16" spans="1:8" ht="13.5" customHeight="1" x14ac:dyDescent="0.2">
      <c r="A16" s="36"/>
      <c r="B16" s="36"/>
      <c r="C16" s="27"/>
      <c r="D16" s="27"/>
      <c r="E16" s="27"/>
      <c r="F16" s="27"/>
      <c r="G16" s="27"/>
      <c r="H16" s="27"/>
    </row>
    <row r="17" spans="1:8" ht="12.75" customHeight="1" x14ac:dyDescent="0.2">
      <c r="A17" s="36"/>
      <c r="B17" s="36"/>
      <c r="C17" s="27"/>
      <c r="D17" s="27"/>
      <c r="E17" s="27"/>
      <c r="F17" s="27"/>
      <c r="G17" s="27"/>
      <c r="H17" s="27"/>
    </row>
    <row r="18" spans="1:8" ht="15.75" x14ac:dyDescent="0.2">
      <c r="A18" s="45" t="s">
        <v>9</v>
      </c>
      <c r="B18" s="45"/>
      <c r="C18" s="28"/>
      <c r="D18" s="28"/>
      <c r="E18" s="27"/>
      <c r="F18" s="27"/>
      <c r="G18" s="27"/>
      <c r="H18" s="27"/>
    </row>
    <row r="19" spans="1:8" ht="15.75" x14ac:dyDescent="0.2">
      <c r="A19" s="28"/>
      <c r="B19" s="28"/>
      <c r="C19" s="28"/>
      <c r="D19" s="28"/>
      <c r="E19" s="27"/>
      <c r="F19" s="27"/>
      <c r="G19" s="27"/>
      <c r="H19" s="27"/>
    </row>
    <row r="20" spans="1:8" ht="15.75" x14ac:dyDescent="0.2">
      <c r="A20" s="28"/>
      <c r="B20" s="28"/>
      <c r="C20" s="28"/>
      <c r="D20" s="28"/>
      <c r="E20" s="27"/>
      <c r="F20" s="27"/>
      <c r="G20" s="27"/>
      <c r="H20" s="27"/>
    </row>
    <row r="21" spans="1:8" ht="15.75" x14ac:dyDescent="0.2">
      <c r="A21" s="45"/>
      <c r="B21" s="45"/>
      <c r="C21" s="28"/>
      <c r="D21" s="28"/>
      <c r="E21" s="27"/>
      <c r="F21" s="27"/>
      <c r="G21" s="27"/>
      <c r="H21" s="27"/>
    </row>
    <row r="22" spans="1:8" ht="15.75" x14ac:dyDescent="0.2">
      <c r="A22" s="28"/>
      <c r="B22" s="28"/>
      <c r="C22" s="28"/>
      <c r="D22" s="28"/>
      <c r="E22" s="27"/>
      <c r="F22" s="27"/>
      <c r="G22" s="27"/>
      <c r="H22" s="27"/>
    </row>
    <row r="23" spans="1:8" ht="15.75" x14ac:dyDescent="0.2">
      <c r="A23" s="45" t="s">
        <v>10</v>
      </c>
      <c r="B23" s="45"/>
      <c r="C23" s="45"/>
      <c r="D23" s="45"/>
      <c r="E23" s="27"/>
      <c r="F23" s="27"/>
      <c r="G23" s="27"/>
      <c r="H23" s="27"/>
    </row>
    <row r="24" spans="1:8" ht="15.75" x14ac:dyDescent="0.2">
      <c r="A24" s="28"/>
      <c r="B24" s="28"/>
      <c r="C24" s="28"/>
      <c r="D24" s="28"/>
      <c r="E24" s="27"/>
      <c r="F24" s="27"/>
      <c r="G24" s="27"/>
      <c r="H24" s="27"/>
    </row>
    <row r="25" spans="1:8" ht="15.75" x14ac:dyDescent="0.2">
      <c r="A25" s="45" t="s">
        <v>29</v>
      </c>
      <c r="B25" s="45"/>
      <c r="C25" s="28"/>
      <c r="D25" s="28"/>
      <c r="E25" s="27"/>
      <c r="F25" s="27"/>
      <c r="G25" s="27"/>
      <c r="H25" s="27"/>
    </row>
  </sheetData>
  <mergeCells count="39">
    <mergeCell ref="A1:H1"/>
    <mergeCell ref="A2:H2"/>
    <mergeCell ref="A5:H5"/>
    <mergeCell ref="A7:H7"/>
    <mergeCell ref="A9:B9"/>
    <mergeCell ref="C9:D9"/>
    <mergeCell ref="E9:F9"/>
    <mergeCell ref="G9:H9"/>
    <mergeCell ref="A3:H3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25:B25"/>
    <mergeCell ref="A16:B16"/>
    <mergeCell ref="A17:B17"/>
    <mergeCell ref="A18:B18"/>
    <mergeCell ref="A21:B21"/>
    <mergeCell ref="A23:D2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9</vt:i4>
      </vt:variant>
    </vt:vector>
  </HeadingPairs>
  <TitlesOfParts>
    <vt:vector size="61" baseType="lpstr">
      <vt:lpstr>Космонавтов 11</vt:lpstr>
      <vt:lpstr>Космонавтов 15А</vt:lpstr>
      <vt:lpstr>Космонавтов 20</vt:lpstr>
      <vt:lpstr>Космонавтов 21</vt:lpstr>
      <vt:lpstr>Ленина 6Б</vt:lpstr>
      <vt:lpstr>Ленина 34</vt:lpstr>
      <vt:lpstr>Ленина 35</vt:lpstr>
      <vt:lpstr>Ленина 36</vt:lpstr>
      <vt:lpstr>Ленина 37</vt:lpstr>
      <vt:lpstr>Ленина 39</vt:lpstr>
      <vt:lpstr>Мира 34</vt:lpstr>
      <vt:lpstr>Мира 36А</vt:lpstr>
      <vt:lpstr>Мира 38</vt:lpstr>
      <vt:lpstr>Мира 38А</vt:lpstr>
      <vt:lpstr>Московская 31</vt:lpstr>
      <vt:lpstr>Московская 33</vt:lpstr>
      <vt:lpstr>Павлова 28</vt:lpstr>
      <vt:lpstr>Павлова 30</vt:lpstr>
      <vt:lpstr>Павлова 45</vt:lpstr>
      <vt:lpstr>Павлова 47</vt:lpstr>
      <vt:lpstr>Павлова 47А</vt:lpstr>
      <vt:lpstr>Павлова 53</vt:lpstr>
      <vt:lpstr>Победы 22Б</vt:lpstr>
      <vt:lpstr>Победы 22В</vt:lpstr>
      <vt:lpstr>Пирогова 21</vt:lpstr>
      <vt:lpstr>Пирогова 23</vt:lpstr>
      <vt:lpstr>Пирогова 34</vt:lpstr>
      <vt:lpstr>Сергея Буладо 1</vt:lpstr>
      <vt:lpstr>Сергея Буландо 3</vt:lpstr>
      <vt:lpstr>Сергея Буландо 4</vt:lpstr>
      <vt:lpstr>Сергея Буландо 5</vt:lpstr>
      <vt:lpstr>Сергея Буландо 7</vt:lpstr>
      <vt:lpstr>Советской Армии 5А</vt:lpstr>
      <vt:lpstr>Советской Армии 20</vt:lpstr>
      <vt:lpstr>Советской Армии 22</vt:lpstr>
      <vt:lpstr>Советской Армии 24</vt:lpstr>
      <vt:lpstr>Советской Армии 25</vt:lpstr>
      <vt:lpstr>Советской Армии 26</vt:lpstr>
      <vt:lpstr>Строителей 13</vt:lpstr>
      <vt:lpstr>Строителей 13А</vt:lpstr>
      <vt:lpstr>Строителей 15</vt:lpstr>
      <vt:lpstr>Строителей 32</vt:lpstr>
      <vt:lpstr>Яблочкова 11</vt:lpstr>
      <vt:lpstr>Яблочкова 13А</vt:lpstr>
      <vt:lpstr>Яблочкова 19</vt:lpstr>
      <vt:lpstr>Яблочкова 21А</vt:lpstr>
      <vt:lpstr>Яблочкова 23</vt:lpstr>
      <vt:lpstr>Яблочкова 23А</vt:lpstr>
      <vt:lpstr>Яблочкова 25</vt:lpstr>
      <vt:lpstr>Яблочкова 34</vt:lpstr>
      <vt:lpstr>Яблочкова 36</vt:lpstr>
      <vt:lpstr>Яблочкова 36А</vt:lpstr>
      <vt:lpstr>'Космонавтов 15А'!Область_печати</vt:lpstr>
      <vt:lpstr>'Павлова 47А'!Область_печати</vt:lpstr>
      <vt:lpstr>'Сергея Буландо 5'!Область_печати</vt:lpstr>
      <vt:lpstr>'Строителей 13'!Область_печати</vt:lpstr>
      <vt:lpstr>'Яблочкова 11'!Область_печати</vt:lpstr>
      <vt:lpstr>'Яблочкова 13А'!Область_печати</vt:lpstr>
      <vt:lpstr>'Яблочкова 25'!Область_печати</vt:lpstr>
      <vt:lpstr>'Яблочкова 34'!Область_печати</vt:lpstr>
      <vt:lpstr>'Яблочкова 36'!Область_печати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2020-03-23T11:09:10Z</cp:lastPrinted>
  <dcterms:created xsi:type="dcterms:W3CDTF">1996-10-08T23:32:33Z</dcterms:created>
  <dcterms:modified xsi:type="dcterms:W3CDTF">2020-04-01T11:13:03Z</dcterms:modified>
</cp:coreProperties>
</file>