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40" yWindow="540" windowWidth="9720" windowHeight="7320" tabRatio="884" activeTab="0"/>
  </bookViews>
  <sheets>
    <sheet name="Косм11" sheetId="1" r:id="rId1"/>
    <sheet name="Косм15А" sheetId="2" r:id="rId2"/>
    <sheet name="Косм20" sheetId="3" r:id="rId3"/>
    <sheet name="Косм21" sheetId="4" r:id="rId4"/>
    <sheet name="Лен6Б" sheetId="5" r:id="rId5"/>
    <sheet name="Лен34" sheetId="6" r:id="rId6"/>
    <sheet name="Лен35" sheetId="7" r:id="rId7"/>
    <sheet name="Лен36" sheetId="8" r:id="rId8"/>
    <sheet name="Лен37" sheetId="9" r:id="rId9"/>
    <sheet name="Лен39" sheetId="10" r:id="rId10"/>
    <sheet name="Мира34" sheetId="11" r:id="rId11"/>
    <sheet name="Мира36А" sheetId="12" r:id="rId12"/>
    <sheet name="Мира38" sheetId="13" r:id="rId13"/>
    <sheet name="Мира38А" sheetId="14" r:id="rId14"/>
    <sheet name="Мира58 К" sheetId="15" r:id="rId15"/>
    <sheet name="Моск31" sheetId="16" r:id="rId16"/>
    <sheet name="Моск33" sheetId="17" r:id="rId17"/>
    <sheet name="Пав28 К" sheetId="18" r:id="rId18"/>
    <sheet name="Пав30" sheetId="19" r:id="rId19"/>
    <sheet name="Пав45 К" sheetId="20" r:id="rId20"/>
    <sheet name="Пав47 К" sheetId="21" r:id="rId21"/>
    <sheet name="Пав47А К" sheetId="22" r:id="rId22"/>
    <sheet name="Пав53 К" sheetId="23" r:id="rId23"/>
    <sheet name="Пир21" sheetId="24" r:id="rId24"/>
    <sheet name="Пир23" sheetId="25" r:id="rId25"/>
    <sheet name="Пир34" sheetId="26" r:id="rId26"/>
    <sheet name="Поб22Б" sheetId="27" r:id="rId27"/>
    <sheet name="Поб22В" sheetId="28" r:id="rId28"/>
    <sheet name="СБул1" sheetId="29" r:id="rId29"/>
    <sheet name="СБул3" sheetId="30" r:id="rId30"/>
    <sheet name="СБул4" sheetId="31" r:id="rId31"/>
    <sheet name="СБул5" sheetId="32" r:id="rId32"/>
    <sheet name="СБул7" sheetId="33" r:id="rId33"/>
    <sheet name="СА5А" sheetId="34" r:id="rId34"/>
    <sheet name="СА20" sheetId="35" r:id="rId35"/>
    <sheet name="СА22" sheetId="36" r:id="rId36"/>
    <sheet name="СА24" sheetId="37" r:id="rId37"/>
    <sheet name="СА25" sheetId="38" r:id="rId38"/>
    <sheet name="СА26" sheetId="39" r:id="rId39"/>
    <sheet name="Стр13" sheetId="40" r:id="rId40"/>
    <sheet name="Стр13А" sheetId="41" r:id="rId41"/>
    <sheet name="Стр15" sheetId="42" r:id="rId42"/>
    <sheet name="Стр32" sheetId="43" r:id="rId43"/>
    <sheet name="Ябл11" sheetId="44" r:id="rId44"/>
    <sheet name="Ябл13А" sheetId="45" r:id="rId45"/>
    <sheet name="Ябл19" sheetId="46" r:id="rId46"/>
    <sheet name="Ябл21А" sheetId="47" r:id="rId47"/>
    <sheet name="Ябл23" sheetId="48" r:id="rId48"/>
    <sheet name="Ябл23А" sheetId="49" r:id="rId49"/>
    <sheet name="Ябл25" sheetId="50" r:id="rId50"/>
    <sheet name="Ябл34" sheetId="51" r:id="rId51"/>
    <sheet name="Ябл36" sheetId="52" r:id="rId52"/>
    <sheet name="Ябл36А" sheetId="53" r:id="rId53"/>
  </sheets>
  <definedNames>
    <definedName name="_xlnm.Print_Area" localSheetId="1">'Косм15А'!$A$1:$H$29</definedName>
    <definedName name="_xlnm.Print_Area" localSheetId="21">'Пав47А К'!$A$1:$H$25</definedName>
    <definedName name="_xlnm.Print_Area" localSheetId="29">'СБул3'!$A$1:$H$25</definedName>
    <definedName name="_xlnm.Print_Area" localSheetId="30">'СБул4'!$A$1:$H$25</definedName>
    <definedName name="_xlnm.Print_Area" localSheetId="31">'СБул5'!$A$1:$H$25</definedName>
    <definedName name="_xlnm.Print_Area" localSheetId="39">'Стр13'!$A$1:$H$29</definedName>
    <definedName name="_xlnm.Print_Area" localSheetId="43">'Ябл11'!$A$1:$H$24</definedName>
    <definedName name="_xlnm.Print_Area" localSheetId="44">'Ябл13А'!$A$1:$H$24</definedName>
    <definedName name="_xlnm.Print_Area" localSheetId="49">'Ябл25'!$A$1:$H$25</definedName>
    <definedName name="_xlnm.Print_Area" localSheetId="50">'Ябл34'!$A$1:$H$26</definedName>
    <definedName name="_xlnm.Print_Area" localSheetId="51">'Ябл36'!$A$1:$H$26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2019-2652,41
2020-2652,31</t>
        </r>
      </text>
    </commen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18/02/20241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
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2019-713,09
2020-713,09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  <comment ref="C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2019-5712,32
2020-5712,62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  <comment ref="C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об.вед-ть</t>
        </r>
      </text>
    </comment>
    <comment ref="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 отчету в ГЖИ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  <comment ref="C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общ-кап рем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</commentList>
</comments>
</file>

<file path=xl/comments26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12/02/2020</t>
        </r>
      </text>
    </comment>
  </commentList>
</comments>
</file>

<file path=xl/comments27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
</t>
        </r>
      </text>
    </comment>
    <comment ref="G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об.вед-ть +ИП
</t>
        </r>
      </text>
    </comment>
  </commentList>
</comments>
</file>

<file path=xl/comments29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
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2019-3010,92
2020-3010,72</t>
        </r>
      </text>
    </comment>
  </commentList>
</comments>
</file>

<file path=xl/comments30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до 16/02/21 был+лифт169574,10, убрала</t>
        </r>
      </text>
    </commen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</commentList>
</comments>
</file>

<file path=xl/comments3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</commentList>
</comments>
</file>

<file path=xl/comments3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15/02/2020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3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34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16/02/2021</t>
        </r>
      </text>
    </comment>
    <comment ref="G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формула не подходит, т.к начисляются %банка</t>
        </r>
      </text>
    </comment>
  </commentList>
</comments>
</file>

<file path=xl/comments35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</t>
        </r>
      </text>
    </comment>
    <comment ref="C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итого-кап рем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36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 обор.вед-ти за 2020г</t>
        </r>
      </text>
    </comment>
    <comment ref="C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223,70-кап рем са25 оплачено в 2019г кв.14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37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
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 2019=5630,9
на 2020=5627,6</t>
        </r>
      </text>
    </comment>
  </commentList>
</comments>
</file>

<file path=xl/comments38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
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 2019=4142,9
на 2020=4142,9</t>
        </r>
      </text>
    </comment>
    <comment ref="C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итого-кап рем</t>
        </r>
      </text>
    </comment>
    <comment ref="G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2020г работ не было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39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2019=4892,00
2020=4894,4</t>
        </r>
      </text>
    </commen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2019-2160,2
2020-2160,20</t>
        </r>
      </text>
    </commen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</commentList>
</comments>
</file>

<file path=xl/comments40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
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2019=1424,44
2020=1424,44
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4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2019=2531,70
2020=2531,50</t>
        </r>
      </text>
    </comment>
  </commentList>
</comments>
</file>

<file path=xl/comments4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2019=1505,28
2020=1505,28</t>
        </r>
      </text>
    </comment>
  </commentList>
</comments>
</file>

<file path=xl/comments4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2019-632,6
2020-632,6</t>
        </r>
      </text>
    </comment>
  </commentList>
</comments>
</file>

<file path=xl/comments44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2019-3035,10
2020-3035,10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45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2019-2273,3
2020-2273,3
</t>
        </r>
      </text>
    </comment>
    <comment ref="C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итого-кап рем</t>
        </r>
      </text>
    </comment>
  </commentList>
</comments>
</file>

<file path=xl/comments46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2019-4893,7
2020-2484,1+2482,8=4966,9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47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2019-3113,7
2020-3113,7</t>
        </r>
      </text>
    </comment>
    <comment ref="C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итого-кап рем
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48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2019-5635,40
2020-5639,00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49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
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2019-4268,8
2020-4270,1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2019-1662,70
2020-1662,70</t>
        </r>
      </text>
    </commen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</commentList>
</comments>
</file>

<file path=xl/comments50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2019-2123,50
2020-2122,20</t>
        </r>
      </text>
    </comment>
  </commentList>
</comments>
</file>

<file path=xl/comments5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
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2019-5386,10
2020-5392,20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52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2019-9475,50
2020-9475,50</t>
        </r>
      </text>
    </commen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15/03/21</t>
        </r>
      </text>
    </comment>
  </commentList>
</comments>
</file>

<file path=xl/comments5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14/02/2020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2019-5969,40
2020-5937,20</t>
        </r>
      </text>
    </comment>
    <comment ref="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изм 15/03/21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
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2019-3612,63
2020-3612,63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2019-764,30
2020-764,30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2019-1510,10
2020-1510,10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2019-331,0
2020-331,0</t>
        </r>
      </text>
    </comment>
    <comment ref="A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18/02/2021</t>
        </r>
      </text>
    </comment>
  </commentList>
</comments>
</file>

<file path=xl/sharedStrings.xml><?xml version="1.0" encoding="utf-8"?>
<sst xmlns="http://schemas.openxmlformats.org/spreadsheetml/2006/main" count="915" uniqueCount="150">
  <si>
    <t>Текущий ремонт жилых домов (руб.)</t>
  </si>
  <si>
    <t>Содержание жилых домов (руб.)</t>
  </si>
  <si>
    <t>Капитальный ремонт жилых домов (руб.)</t>
  </si>
  <si>
    <t>2. Начислено</t>
  </si>
  <si>
    <t>3. Оплачено:</t>
  </si>
  <si>
    <t>5. Выполнено работ (оказано услуг)</t>
  </si>
  <si>
    <t>II. Основные показатели финансово-хозяйственной деятельности управляющей организации по каждому дому</t>
  </si>
  <si>
    <t>Таблица № 1</t>
  </si>
  <si>
    <t>Примечание:</t>
  </si>
  <si>
    <t>п.5 = данные управляющей организации</t>
  </si>
  <si>
    <t xml:space="preserve">6. Остаток на конец отчетного года                  "-" - перевыполнено работ                                "+" - недовыполнено работ            </t>
  </si>
  <si>
    <t>ул. Ленина, 34</t>
  </si>
  <si>
    <t>ул. Ленина, 35</t>
  </si>
  <si>
    <t>ул. Ленина, 36</t>
  </si>
  <si>
    <t>ул. Ленина, 37</t>
  </si>
  <si>
    <t>ул. Ленина, 39</t>
  </si>
  <si>
    <t>ул. Яблочкова, 19</t>
  </si>
  <si>
    <t>ул. Яблочкова, 21а</t>
  </si>
  <si>
    <t>ул. Яблочкова, 23</t>
  </si>
  <si>
    <t>ул. Яблочкова, 23а</t>
  </si>
  <si>
    <t>ул. Яблочкова, 25</t>
  </si>
  <si>
    <t>ул. Космонавтов, 11</t>
  </si>
  <si>
    <t>1. Остаток на начало года</t>
  </si>
  <si>
    <t>ул.Сергея Буландо,1</t>
  </si>
  <si>
    <t>ул.Сергея Буландо,3</t>
  </si>
  <si>
    <t>ул.Сергея Буландо,5</t>
  </si>
  <si>
    <t>ул.Сергея Буландо,7</t>
  </si>
  <si>
    <t>п.6 = п.1+п.2 - п.5</t>
  </si>
  <si>
    <t>п.6 = п.1 + п.2 - п.5</t>
  </si>
  <si>
    <t>п.6 = п.1+п.2- п.5</t>
  </si>
  <si>
    <t>п.6 = п.1+п.2-п.5</t>
  </si>
  <si>
    <t>ул. Космонавтов, 15а</t>
  </si>
  <si>
    <t>ул. Космонавтов, 20</t>
  </si>
  <si>
    <t>ул. Космонавтов, 21</t>
  </si>
  <si>
    <t>Общая площадь 1662,70 кв.м.</t>
  </si>
  <si>
    <t>Основные показатели финансово-хозяйственной деятельности управляющей организации по каждому дому</t>
  </si>
  <si>
    <t>1. Остаток на начало года:</t>
  </si>
  <si>
    <t>2. Начислено:</t>
  </si>
  <si>
    <t>5. Выполнено работ (оказано услуг):</t>
  </si>
  <si>
    <t>Общая площадь 764,3 кв.м.</t>
  </si>
  <si>
    <t>Общая площадь 713,09 кв.м.</t>
  </si>
  <si>
    <t>ул. Мира, 34</t>
  </si>
  <si>
    <t>ул. Мира, 36а</t>
  </si>
  <si>
    <t>ул. Мира, 38</t>
  </si>
  <si>
    <t>ул. Мира, 38а</t>
  </si>
  <si>
    <t>ул. Московская, 31</t>
  </si>
  <si>
    <t>ул. Московская, 33</t>
  </si>
  <si>
    <t xml:space="preserve"> </t>
  </si>
  <si>
    <t>ул. Павлова, 28</t>
  </si>
  <si>
    <t>ул. Павлова, 30</t>
  </si>
  <si>
    <t>-</t>
  </si>
  <si>
    <t>ул. Павлова, 45</t>
  </si>
  <si>
    <t>1.1. Остаток на начало года</t>
  </si>
  <si>
    <t>ул. Павлова, 47</t>
  </si>
  <si>
    <t>ул. Павлова, 47а</t>
  </si>
  <si>
    <t>ул. Павлова, 53</t>
  </si>
  <si>
    <t>ул. Пирогова, 21</t>
  </si>
  <si>
    <t>Общая площадь 1088,6 кв.м.</t>
  </si>
  <si>
    <t>ул. Пирогова, 23</t>
  </si>
  <si>
    <t>Общая площадь 602,2 кв.м.</t>
  </si>
  <si>
    <t>ул. Пирогова, 34</t>
  </si>
  <si>
    <t>ул. Сергея Буландо,4</t>
  </si>
  <si>
    <t>ул. Советской Армии, 20</t>
  </si>
  <si>
    <t>ул. Советской Армии, 22</t>
  </si>
  <si>
    <t>ул. Советской Армии, 24</t>
  </si>
  <si>
    <t>ул. Советской Армии,25</t>
  </si>
  <si>
    <t>ул. Советской Армии, 26</t>
  </si>
  <si>
    <t>ул. Строителей, 13</t>
  </si>
  <si>
    <t>ул. Строителей, 13а</t>
  </si>
  <si>
    <t>ул. Строителей, 15</t>
  </si>
  <si>
    <t>ул. Строителей, 32</t>
  </si>
  <si>
    <t>ул. Яблочкова, 11</t>
  </si>
  <si>
    <t>Директор ООО"Городской управляющей компании"</t>
  </si>
  <si>
    <t>А.Г. Абдулзалилов</t>
  </si>
  <si>
    <t>исполнитель:</t>
  </si>
  <si>
    <t xml:space="preserve">О.А. Шумакова </t>
  </si>
  <si>
    <t>ул. Яблочкова, 34</t>
  </si>
  <si>
    <t>п.6 = п. 1+п.2 - п.5</t>
  </si>
  <si>
    <t>исполнитель:                   О.А.Шумакова</t>
  </si>
  <si>
    <t>ул. Яблочкова, 36</t>
  </si>
  <si>
    <t>ул. Яблочкова, 36а</t>
  </si>
  <si>
    <t xml:space="preserve">6. Остаток на конец отчетного года
"-" - перевыполнено работ
"+" - недовыполнено работ            </t>
  </si>
  <si>
    <t>II. Основные показатели финансово-хозяйственной деятельности управляющей организации</t>
  </si>
  <si>
    <t>Общая площадь 4038,9 кв.м.</t>
  </si>
  <si>
    <t xml:space="preserve">6. Остаток на конец отчетного года
"-"  перевыполнено работ
"+" недовыполнено работ            </t>
  </si>
  <si>
    <t xml:space="preserve">6. Остаток на конец отчетного года
"-" - перевыполнено работ                                "+" - недовыполнено работ            </t>
  </si>
  <si>
    <t>7. Остаток средств с учетом задолженности населения
"-" - задолженность
"+" - наличие</t>
  </si>
  <si>
    <t>ул. Советской Армии, 5а</t>
  </si>
  <si>
    <t>ул. Победы, 22б</t>
  </si>
  <si>
    <t>ул. Победы, 22в</t>
  </si>
  <si>
    <t>Общая площадь 5712,32 кв.м.</t>
  </si>
  <si>
    <t>Общая площадь 2652,41 кв.м.</t>
  </si>
  <si>
    <t>Общая площадь 3010,92 кв.м.</t>
  </si>
  <si>
    <t>Общая площадь 2160,2 кв.м.</t>
  </si>
  <si>
    <t>Общая площадь 3217,10 кв.м</t>
  </si>
  <si>
    <t>Общая площадь 4048,40 кв.м.</t>
  </si>
  <si>
    <t>Общая площадь 4911,60 кв.м.</t>
  </si>
  <si>
    <t>Общая площадь 4117,00 кв.м.</t>
  </si>
  <si>
    <t>Общая площадь 2514,60 кв.м.</t>
  </si>
  <si>
    <t>Общая площадь 2513,80 кв.м.</t>
  </si>
  <si>
    <t>Общая площадь 2573,55 кв.м.</t>
  </si>
  <si>
    <t>Общая площадь 2587,70 кв.м.</t>
  </si>
  <si>
    <t>Общая площадь 1100,50 кв.м.</t>
  </si>
  <si>
    <t>Общая площадь 1412,73 кв.м.</t>
  </si>
  <si>
    <t>Общая площадь 2809,60 кв.м.</t>
  </si>
  <si>
    <t>Общая площадь 3999,90 кв.м.</t>
  </si>
  <si>
    <t>Общая площадь 4235,40 кв.м.</t>
  </si>
  <si>
    <t>Общая площадь 4417,7 кв.м.</t>
  </si>
  <si>
    <t>Общая площадь 4476,6 кв.м.</t>
  </si>
  <si>
    <t>Общая площадь 327,21 кв.м.</t>
  </si>
  <si>
    <t>ул. Мира, 58</t>
  </si>
  <si>
    <t>Общая площадь 3845,30 кв.м.</t>
  </si>
  <si>
    <t>Общая площадь 4893,7 кв.м.</t>
  </si>
  <si>
    <t>ул. Яблочкова, 13А</t>
  </si>
  <si>
    <t>Общая площадь 2273,3 кв.м.</t>
  </si>
  <si>
    <t>Общая площадь 3113,70 кв.м.</t>
  </si>
  <si>
    <t>Общая площадь 5635,40 кв.м.</t>
  </si>
  <si>
    <t>Общая площадь 4268,8 кв.м.</t>
  </si>
  <si>
    <t>Общая площадь 2123,50 кв.м.</t>
  </si>
  <si>
    <t>Общая площадь 5386,10 кв.м.</t>
  </si>
  <si>
    <t>Общая площадь 632,6 кв.м.</t>
  </si>
  <si>
    <t>Общая площадь 1505,28 кв.м.</t>
  </si>
  <si>
    <t>Общая площадь 1424,44 кв.м.</t>
  </si>
  <si>
    <t>Общая площадь 2633,60 кв.м.</t>
  </si>
  <si>
    <t>Общая площадь 6244,50 кв.м.</t>
  </si>
  <si>
    <t>Общая площадь 3612,63 кв.м.</t>
  </si>
  <si>
    <t>Общая площадь жилых помещений 1510,10 кв.м.</t>
  </si>
  <si>
    <t>Общая площадь 331,0 кв.м.</t>
  </si>
  <si>
    <t>Общая площадь 2665,20 кв.м.</t>
  </si>
  <si>
    <t>Общая площадь 4338,10 кв.м.</t>
  </si>
  <si>
    <t>Общая площадь 4142,90 кв.м.</t>
  </si>
  <si>
    <t>Общая площадь 4892,00 кв.м</t>
  </si>
  <si>
    <t>Общая площадь 9475,50 кв.м.</t>
  </si>
  <si>
    <t>Общая площадь 5969,40 кв.м.</t>
  </si>
  <si>
    <t>Директор ООО Городская управляющая компаниия                     А.Г.Абдулзалилов</t>
  </si>
  <si>
    <t>Главный бухгалтер ООО Городская управляющая компания           О.А.Храменкова</t>
  </si>
  <si>
    <t>за  2020г.</t>
  </si>
  <si>
    <t>Общая площадь 4046,20 кв.м.</t>
  </si>
  <si>
    <t>за 2020г.</t>
  </si>
  <si>
    <t>за    2020г.</t>
  </si>
  <si>
    <t>4. Задолженность населения на конец отчетного периода</t>
  </si>
  <si>
    <t>за   2020г.</t>
  </si>
  <si>
    <t>Общая площадь 1715,20 кв.м.</t>
  </si>
  <si>
    <t>Общая площадь 5627,60 кв.м.</t>
  </si>
  <si>
    <t>Общая площадь 2531,50 кв.м.</t>
  </si>
  <si>
    <t>Общая площадь 3035,10 кв.м.</t>
  </si>
  <si>
    <t>ул.Ленина,6 Б</t>
  </si>
  <si>
    <t xml:space="preserve"> 2020г.</t>
  </si>
  <si>
    <t xml:space="preserve">подписано за 2020г старшей 04/03/2021 </t>
  </si>
  <si>
    <t xml:space="preserve"> - Поступило от ТСЖ "МИР"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</si>
</sst>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1.vml" /><Relationship Id="rId3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2.vml" /><Relationship Id="rId3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3.vml" /><Relationship Id="rId3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tabSelected="1" view="pageBreakPreview" zoomScale="90" zoomScaleSheetLayoutView="90" zoomScalePageLayoutView="0" workbookViewId="0" topLeftCell="A1">
      <selection activeCell="C15" sqref="C15:D15"/>
    </sheetView>
  </sheetViews>
  <sheetFormatPr defaultColWidth="9.140625" defaultRowHeight="12.75"/>
  <cols>
    <col min="1" max="2" width="12.7109375" style="0" customWidth="1"/>
    <col min="8" max="8" width="9.140625" style="0" customWidth="1"/>
  </cols>
  <sheetData>
    <row r="1" spans="1:8" ht="15.75">
      <c r="A1" s="37" t="s">
        <v>21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91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43">
        <v>-271713.7</v>
      </c>
      <c r="D10" s="44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48">
        <v>103442.95</v>
      </c>
      <c r="D11" s="49"/>
      <c r="E11" s="48">
        <f>131610.98+138132.36</f>
        <v>269743.33999999997</v>
      </c>
      <c r="F11" s="49"/>
      <c r="G11" s="50">
        <v>0</v>
      </c>
      <c r="H11" s="50"/>
    </row>
    <row r="12" spans="1:8" ht="15.75">
      <c r="A12" s="47" t="s">
        <v>4</v>
      </c>
      <c r="B12" s="47"/>
      <c r="C12" s="48">
        <f>360099.47-E11</f>
        <v>90356.13</v>
      </c>
      <c r="D12" s="49"/>
      <c r="E12" s="48">
        <f>E11</f>
        <v>269743.33999999997</v>
      </c>
      <c r="F12" s="49"/>
      <c r="G12" s="50">
        <v>0</v>
      </c>
      <c r="H12" s="50"/>
    </row>
    <row r="13" spans="1:8" ht="47.25" customHeight="1">
      <c r="A13" s="41" t="s">
        <v>140</v>
      </c>
      <c r="B13" s="42"/>
      <c r="C13" s="52">
        <v>139918.33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41151.26</v>
      </c>
      <c r="D14" s="50"/>
      <c r="E14" s="52">
        <f>E11</f>
        <v>269743.33999999997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-209422.01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4"/>
      <c r="D16" s="14"/>
      <c r="E16" s="14"/>
      <c r="F16" s="14"/>
      <c r="G16" s="14"/>
      <c r="H16" s="14"/>
    </row>
    <row r="17" spans="1:8" ht="12.75" customHeight="1">
      <c r="A17" s="39"/>
      <c r="B17" s="39"/>
      <c r="C17" s="14"/>
      <c r="D17" s="14"/>
      <c r="E17" s="14"/>
      <c r="F17" s="14"/>
      <c r="G17" s="14"/>
      <c r="H17" s="14"/>
    </row>
    <row r="18" spans="1:8" ht="28.5" customHeight="1">
      <c r="A18" s="53"/>
      <c r="B18" s="53"/>
      <c r="C18" s="53"/>
      <c r="D18" s="53"/>
      <c r="E18" s="53"/>
      <c r="F18" s="53"/>
      <c r="G18" s="53"/>
      <c r="H18" s="53"/>
    </row>
    <row r="19" spans="1:8" ht="15.75">
      <c r="A19" s="14"/>
      <c r="B19" s="14"/>
      <c r="C19" s="38"/>
      <c r="D19" s="38"/>
      <c r="E19" s="38"/>
      <c r="F19" s="38"/>
      <c r="G19" s="38"/>
      <c r="H19" s="38"/>
    </row>
    <row r="20" spans="1:8" ht="15.75">
      <c r="A20" s="38"/>
      <c r="B20" s="38"/>
      <c r="C20" s="38"/>
      <c r="D20" s="38"/>
      <c r="E20" s="38"/>
      <c r="F20" s="38"/>
      <c r="G20" s="38"/>
      <c r="H20" s="38"/>
    </row>
    <row r="21" spans="1:8" ht="15.75">
      <c r="A21" s="38"/>
      <c r="B21" s="38"/>
      <c r="C21" s="14"/>
      <c r="D21" s="14"/>
      <c r="E21" s="14"/>
      <c r="F21" s="14"/>
      <c r="G21" s="14"/>
      <c r="H21" s="14"/>
    </row>
    <row r="22" spans="1:8" ht="15.75">
      <c r="A22" s="14"/>
      <c r="B22" s="14"/>
      <c r="C22" s="14"/>
      <c r="D22" s="14"/>
      <c r="E22" s="14"/>
      <c r="F22" s="14"/>
      <c r="G22" s="14"/>
      <c r="H22" s="14"/>
    </row>
    <row r="23" spans="1:8" ht="15.75">
      <c r="A23" s="38" t="s">
        <v>9</v>
      </c>
      <c r="B23" s="38"/>
      <c r="C23" s="38"/>
      <c r="D23" s="38"/>
      <c r="E23" s="14"/>
      <c r="F23" s="14"/>
      <c r="G23" s="14"/>
      <c r="H23" s="14"/>
    </row>
    <row r="24" spans="1:8" ht="15.75">
      <c r="A24" s="14"/>
      <c r="B24" s="14"/>
      <c r="C24" s="14"/>
      <c r="D24" s="14"/>
      <c r="E24" s="14"/>
      <c r="F24" s="14"/>
      <c r="G24" s="14"/>
      <c r="H24" s="14"/>
    </row>
    <row r="25" spans="1:8" ht="15.75">
      <c r="A25" s="38" t="s">
        <v>27</v>
      </c>
      <c r="B25" s="38"/>
      <c r="C25" s="14"/>
      <c r="D25" s="14"/>
      <c r="E25" s="14"/>
      <c r="F25" s="14"/>
      <c r="G25" s="14"/>
      <c r="H25" s="14"/>
    </row>
  </sheetData>
  <sheetProtection/>
  <mergeCells count="41">
    <mergeCell ref="A23:D23"/>
    <mergeCell ref="A25:B25"/>
    <mergeCell ref="A16:B16"/>
    <mergeCell ref="A17:B17"/>
    <mergeCell ref="A21:B21"/>
    <mergeCell ref="C19:H19"/>
    <mergeCell ref="A20:H20"/>
    <mergeCell ref="A18:H18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9:B9"/>
    <mergeCell ref="C9:D9"/>
    <mergeCell ref="E9:F9"/>
    <mergeCell ref="G9:H9"/>
    <mergeCell ref="A1:H1"/>
    <mergeCell ref="A2:H2"/>
    <mergeCell ref="A5:H5"/>
    <mergeCell ref="A7:H7"/>
    <mergeCell ref="A10:B10"/>
    <mergeCell ref="C10:D10"/>
    <mergeCell ref="E10:F10"/>
    <mergeCell ref="G10:H10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C12" sqref="C12:F12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15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40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.75" customHeight="1">
      <c r="A10" s="41" t="s">
        <v>22</v>
      </c>
      <c r="B10" s="42"/>
      <c r="C10" s="52">
        <v>64157.22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33116.04</v>
      </c>
      <c r="D11" s="50"/>
      <c r="E11" s="52">
        <f>35426.22+37308.96</f>
        <v>72735.18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99118.42-E11</f>
        <v>26383.240000000005</v>
      </c>
      <c r="D12" s="50"/>
      <c r="E12" s="52">
        <f>E11</f>
        <v>72735.18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311480.4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6569.64</v>
      </c>
      <c r="D14" s="50"/>
      <c r="E14" s="52">
        <f>E11</f>
        <v>72735.18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90703.62000000001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6"/>
      <c r="D16" s="26"/>
      <c r="E16" s="26"/>
      <c r="F16" s="26"/>
      <c r="G16" s="26"/>
      <c r="H16" s="26"/>
    </row>
    <row r="17" spans="1:8" ht="12.75" customHeight="1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38" t="s">
        <v>8</v>
      </c>
      <c r="B18" s="38"/>
      <c r="C18" s="26"/>
      <c r="D18" s="26"/>
      <c r="E18" s="26"/>
      <c r="F18" s="26"/>
      <c r="G18" s="26"/>
      <c r="H18" s="26"/>
    </row>
    <row r="19" spans="1:8" ht="15.75">
      <c r="A19" s="26"/>
      <c r="B19" s="26"/>
      <c r="C19" s="26"/>
      <c r="D19" s="26"/>
      <c r="E19" s="26"/>
      <c r="F19" s="26"/>
      <c r="G19" s="26"/>
      <c r="H19" s="26"/>
    </row>
    <row r="20" spans="1:8" ht="15.75">
      <c r="A20" s="26"/>
      <c r="B20" s="26"/>
      <c r="C20" s="26"/>
      <c r="D20" s="26"/>
      <c r="E20" s="26"/>
      <c r="F20" s="26"/>
      <c r="G20" s="26"/>
      <c r="H20" s="26"/>
    </row>
    <row r="21" spans="1:8" ht="15.75">
      <c r="A21" s="38"/>
      <c r="B21" s="38"/>
      <c r="C21" s="26"/>
      <c r="D21" s="26"/>
      <c r="E21" s="26"/>
      <c r="F21" s="26"/>
      <c r="G21" s="26"/>
      <c r="H21" s="26"/>
    </row>
    <row r="22" spans="1:8" ht="15.75">
      <c r="A22" s="26"/>
      <c r="B22" s="26"/>
      <c r="C22" s="26"/>
      <c r="D22" s="26"/>
      <c r="E22" s="26"/>
      <c r="F22" s="26"/>
      <c r="G22" s="26"/>
      <c r="H22" s="26"/>
    </row>
    <row r="23" spans="1:8" ht="15.75">
      <c r="A23" s="38" t="s">
        <v>9</v>
      </c>
      <c r="B23" s="38"/>
      <c r="C23" s="38"/>
      <c r="D23" s="38"/>
      <c r="E23" s="26"/>
      <c r="F23" s="26"/>
      <c r="G23" s="26"/>
      <c r="H23" s="26"/>
    </row>
    <row r="24" spans="1:8" ht="15.75">
      <c r="A24" s="26"/>
      <c r="B24" s="26"/>
      <c r="C24" s="26"/>
      <c r="D24" s="26"/>
      <c r="E24" s="26"/>
      <c r="F24" s="26"/>
      <c r="G24" s="26"/>
      <c r="H24" s="26"/>
    </row>
    <row r="25" spans="1:8" ht="15.75">
      <c r="A25" s="38" t="s">
        <v>28</v>
      </c>
      <c r="B25" s="38"/>
      <c r="C25" s="26"/>
      <c r="D25" s="26"/>
      <c r="E25" s="26"/>
      <c r="F25" s="26"/>
      <c r="G25" s="26"/>
      <c r="H25" s="26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C12" sqref="C12:F12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41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98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52">
        <v>-26946.37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74230.8</v>
      </c>
      <c r="D11" s="50"/>
      <c r="E11" s="52">
        <f>6270.78+6081.96+129753.36+123869.22</f>
        <v>265975.32</v>
      </c>
      <c r="F11" s="50"/>
      <c r="G11" s="65"/>
      <c r="H11" s="65"/>
    </row>
    <row r="12" spans="1:8" ht="15.75">
      <c r="A12" s="47" t="s">
        <v>4</v>
      </c>
      <c r="B12" s="47"/>
      <c r="C12" s="52">
        <f>325879.35-E11</f>
        <v>59904.02999999997</v>
      </c>
      <c r="D12" s="50"/>
      <c r="E12" s="52">
        <f>E11</f>
        <v>265975.32</v>
      </c>
      <c r="F12" s="50"/>
      <c r="G12" s="65"/>
      <c r="H12" s="65"/>
    </row>
    <row r="13" spans="1:8" ht="47.25" customHeight="1">
      <c r="A13" s="47" t="s">
        <v>140</v>
      </c>
      <c r="B13" s="47"/>
      <c r="C13" s="52">
        <v>373741.62</v>
      </c>
      <c r="D13" s="50"/>
      <c r="E13" s="50">
        <v>0</v>
      </c>
      <c r="F13" s="50"/>
      <c r="G13" s="50"/>
      <c r="H13" s="50"/>
    </row>
    <row r="14" spans="1:8" ht="33" customHeight="1">
      <c r="A14" s="47" t="s">
        <v>5</v>
      </c>
      <c r="B14" s="47"/>
      <c r="C14" s="52">
        <v>53315.76</v>
      </c>
      <c r="D14" s="50"/>
      <c r="E14" s="52">
        <f>E12</f>
        <v>265975.32</v>
      </c>
      <c r="F14" s="50"/>
      <c r="G14" s="65"/>
      <c r="H14" s="65"/>
    </row>
    <row r="15" spans="1:8" ht="92.25" customHeight="1">
      <c r="A15" s="47" t="s">
        <v>10</v>
      </c>
      <c r="B15" s="47"/>
      <c r="C15" s="52">
        <f>C10+C11-C14</f>
        <v>-6031.3299999999945</v>
      </c>
      <c r="D15" s="50"/>
      <c r="E15" s="50">
        <v>0</v>
      </c>
      <c r="F15" s="50"/>
      <c r="G15" s="66"/>
      <c r="H15" s="67"/>
    </row>
    <row r="16" spans="1:8" ht="13.5" customHeight="1">
      <c r="A16" s="39"/>
      <c r="B16" s="39"/>
      <c r="C16" s="14"/>
      <c r="D16" s="14"/>
      <c r="E16" s="14"/>
      <c r="F16" s="14"/>
      <c r="G16" s="14"/>
      <c r="H16" s="14"/>
    </row>
    <row r="17" spans="1:8" ht="12.75" customHeight="1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6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16"/>
      <c r="B21" s="16"/>
      <c r="C21" s="16"/>
      <c r="D21" s="16"/>
      <c r="E21" s="14"/>
      <c r="F21" s="14"/>
      <c r="G21" s="14"/>
      <c r="H21" s="14"/>
    </row>
    <row r="22" spans="1:8" ht="15.75">
      <c r="A22" s="40" t="s">
        <v>9</v>
      </c>
      <c r="B22" s="40"/>
      <c r="C22" s="40"/>
      <c r="D22" s="40"/>
      <c r="E22" s="14"/>
      <c r="F22" s="14"/>
      <c r="G22" s="14"/>
      <c r="H22" s="14"/>
    </row>
    <row r="23" spans="1:8" ht="15.75">
      <c r="A23" s="16"/>
      <c r="B23" s="16"/>
      <c r="C23" s="16"/>
      <c r="D23" s="16"/>
      <c r="E23" s="14"/>
      <c r="F23" s="14"/>
      <c r="G23" s="14"/>
      <c r="H23" s="14"/>
    </row>
    <row r="24" spans="1:8" ht="15.75">
      <c r="A24" s="40" t="s">
        <v>27</v>
      </c>
      <c r="B24" s="40"/>
      <c r="C24" s="16"/>
      <c r="D24" s="16"/>
      <c r="E24" s="14"/>
      <c r="F24" s="14"/>
      <c r="G24" s="14"/>
      <c r="H24" s="14"/>
    </row>
    <row r="25" spans="1:8" ht="15.75">
      <c r="A25" s="14"/>
      <c r="B25" s="14"/>
      <c r="C25" s="14"/>
      <c r="D25" s="14"/>
      <c r="E25" s="14"/>
      <c r="F25" s="14"/>
      <c r="G25" s="14"/>
      <c r="H25" s="14"/>
    </row>
  </sheetData>
  <sheetProtection/>
  <mergeCells count="38">
    <mergeCell ref="A16:B16"/>
    <mergeCell ref="A17:B17"/>
    <mergeCell ref="A18:B18"/>
    <mergeCell ref="A22:D22"/>
    <mergeCell ref="A24:B24"/>
    <mergeCell ref="E14:F14"/>
    <mergeCell ref="G14:H14"/>
    <mergeCell ref="A15:B15"/>
    <mergeCell ref="C15:D15"/>
    <mergeCell ref="E15:F15"/>
    <mergeCell ref="G15:H15"/>
    <mergeCell ref="A14:B14"/>
    <mergeCell ref="C14:D14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C11" sqref="C11:F11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42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99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3"/>
      <c r="B4" s="23"/>
      <c r="C4" s="23"/>
      <c r="D4" s="23"/>
      <c r="E4" s="23"/>
      <c r="F4" s="23"/>
      <c r="G4" s="23"/>
      <c r="H4" s="23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3"/>
      <c r="B8" s="23"/>
      <c r="C8" s="23"/>
      <c r="D8" s="23"/>
      <c r="E8" s="23"/>
      <c r="F8" s="23"/>
      <c r="G8" s="23"/>
      <c r="H8" s="23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52">
        <v>135343.04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72333.12</v>
      </c>
      <c r="D11" s="50"/>
      <c r="E11" s="52">
        <f>130321.71+124652.4</f>
        <v>254974.11</v>
      </c>
      <c r="F11" s="50"/>
      <c r="G11" s="65"/>
      <c r="H11" s="65"/>
    </row>
    <row r="12" spans="1:8" ht="15.75">
      <c r="A12" s="47" t="s">
        <v>4</v>
      </c>
      <c r="B12" s="47"/>
      <c r="C12" s="52">
        <f>333331.5-E11</f>
        <v>78357.39000000001</v>
      </c>
      <c r="D12" s="50"/>
      <c r="E12" s="52">
        <f>E11</f>
        <v>254974.11</v>
      </c>
      <c r="F12" s="50"/>
      <c r="G12" s="50"/>
      <c r="H12" s="50"/>
    </row>
    <row r="13" spans="1:8" ht="47.25" customHeight="1">
      <c r="A13" s="47" t="s">
        <v>140</v>
      </c>
      <c r="B13" s="47"/>
      <c r="C13" s="52">
        <v>116816.14</v>
      </c>
      <c r="D13" s="50"/>
      <c r="E13" s="50">
        <v>0</v>
      </c>
      <c r="F13" s="50"/>
      <c r="G13" s="50"/>
      <c r="H13" s="50"/>
    </row>
    <row r="14" spans="1:8" ht="33" customHeight="1">
      <c r="A14" s="47" t="s">
        <v>5</v>
      </c>
      <c r="B14" s="47"/>
      <c r="C14" s="52">
        <v>35397.02</v>
      </c>
      <c r="D14" s="50"/>
      <c r="E14" s="52">
        <f>E11</f>
        <v>254974.11</v>
      </c>
      <c r="F14" s="50"/>
      <c r="G14" s="65"/>
      <c r="H14" s="65"/>
    </row>
    <row r="15" spans="1:8" ht="92.25" customHeight="1">
      <c r="A15" s="47" t="s">
        <v>10</v>
      </c>
      <c r="B15" s="47"/>
      <c r="C15" s="52">
        <f>C10+C11-C14</f>
        <v>172279.14</v>
      </c>
      <c r="D15" s="50"/>
      <c r="E15" s="50">
        <v>0</v>
      </c>
      <c r="F15" s="50"/>
      <c r="G15" s="50"/>
      <c r="H15" s="50"/>
    </row>
    <row r="16" spans="1:8" ht="13.5" customHeight="1">
      <c r="A16" s="55"/>
      <c r="B16" s="55"/>
      <c r="C16" s="23"/>
      <c r="D16" s="23"/>
      <c r="E16" s="23"/>
      <c r="F16" s="23"/>
      <c r="G16" s="23"/>
      <c r="H16" s="23"/>
    </row>
    <row r="17" spans="1:8" ht="12.75" customHeight="1">
      <c r="A17" s="55"/>
      <c r="B17" s="55"/>
      <c r="C17" s="23"/>
      <c r="D17" s="23"/>
      <c r="E17" s="23"/>
      <c r="F17" s="23"/>
      <c r="G17" s="23"/>
      <c r="H17" s="23"/>
    </row>
    <row r="18" spans="1:8" ht="15.75">
      <c r="A18" s="40" t="s">
        <v>8</v>
      </c>
      <c r="B18" s="40"/>
      <c r="C18" s="23"/>
      <c r="D18" s="23"/>
      <c r="E18" s="23"/>
      <c r="F18" s="23"/>
      <c r="G18" s="23"/>
      <c r="H18" s="23"/>
    </row>
    <row r="19" spans="1:8" ht="15.75">
      <c r="A19" s="16"/>
      <c r="B19" s="16"/>
      <c r="C19" s="23"/>
      <c r="D19" s="23"/>
      <c r="E19" s="23"/>
      <c r="F19" s="23"/>
      <c r="G19" s="23"/>
      <c r="H19" s="23"/>
    </row>
    <row r="20" spans="1:8" ht="15.75">
      <c r="A20" s="16"/>
      <c r="B20" s="16"/>
      <c r="C20" s="23"/>
      <c r="D20" s="23"/>
      <c r="E20" s="23"/>
      <c r="F20" s="23"/>
      <c r="G20" s="23"/>
      <c r="H20" s="23"/>
    </row>
    <row r="21" spans="1:8" ht="15.75">
      <c r="A21" s="40"/>
      <c r="B21" s="40"/>
      <c r="C21" s="23"/>
      <c r="D21" s="23"/>
      <c r="E21" s="23"/>
      <c r="F21" s="23"/>
      <c r="G21" s="23"/>
      <c r="H21" s="23"/>
    </row>
    <row r="22" spans="1:8" ht="15.75">
      <c r="A22" s="16"/>
      <c r="B22" s="16"/>
      <c r="C22" s="23"/>
      <c r="D22" s="23"/>
      <c r="E22" s="23"/>
      <c r="F22" s="23"/>
      <c r="G22" s="23"/>
      <c r="H22" s="23"/>
    </row>
    <row r="23" spans="1:8" ht="15.75">
      <c r="A23" s="40" t="s">
        <v>9</v>
      </c>
      <c r="B23" s="40"/>
      <c r="C23" s="40"/>
      <c r="D23" s="40"/>
      <c r="E23" s="23"/>
      <c r="F23" s="23"/>
      <c r="G23" s="23"/>
      <c r="H23" s="23"/>
    </row>
    <row r="24" spans="1:8" ht="15.75">
      <c r="A24" s="16"/>
      <c r="B24" s="16"/>
      <c r="C24" s="23"/>
      <c r="D24" s="23"/>
      <c r="E24" s="23"/>
      <c r="F24" s="23"/>
      <c r="G24" s="23"/>
      <c r="H24" s="23"/>
    </row>
    <row r="25" spans="1:8" ht="15.75">
      <c r="A25" s="40" t="s">
        <v>27</v>
      </c>
      <c r="B25" s="40"/>
      <c r="C25" s="23"/>
      <c r="D25" s="23"/>
      <c r="E25" s="23"/>
      <c r="F25" s="23"/>
      <c r="G25" s="23"/>
      <c r="H25" s="23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E15" sqref="E15:F15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43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100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52">
        <v>235913.91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101912.64</v>
      </c>
      <c r="D11" s="50"/>
      <c r="E11" s="52">
        <f>135112.5+128780.28</f>
        <v>263892.78</v>
      </c>
      <c r="F11" s="50"/>
      <c r="G11" s="50"/>
      <c r="H11" s="50"/>
    </row>
    <row r="12" spans="1:8" ht="15.75">
      <c r="A12" s="47" t="s">
        <v>4</v>
      </c>
      <c r="B12" s="47"/>
      <c r="C12" s="52">
        <f>365384.5-E11</f>
        <v>101491.71999999997</v>
      </c>
      <c r="D12" s="50"/>
      <c r="E12" s="52">
        <f>E11</f>
        <v>263892.78</v>
      </c>
      <c r="F12" s="50"/>
      <c r="G12" s="50"/>
      <c r="H12" s="50"/>
    </row>
    <row r="13" spans="1:8" ht="47.25" customHeight="1">
      <c r="A13" s="47" t="s">
        <v>140</v>
      </c>
      <c r="B13" s="47"/>
      <c r="C13" s="52">
        <v>132947.92</v>
      </c>
      <c r="D13" s="50"/>
      <c r="E13" s="50">
        <v>0</v>
      </c>
      <c r="F13" s="50"/>
      <c r="G13" s="50"/>
      <c r="H13" s="50"/>
    </row>
    <row r="14" spans="1:8" ht="33" customHeight="1">
      <c r="A14" s="47" t="s">
        <v>5</v>
      </c>
      <c r="B14" s="47"/>
      <c r="C14" s="52">
        <v>8361.05</v>
      </c>
      <c r="D14" s="50"/>
      <c r="E14" s="52">
        <f>E12</f>
        <v>263892.78</v>
      </c>
      <c r="F14" s="50"/>
      <c r="G14" s="50"/>
      <c r="H14" s="50"/>
    </row>
    <row r="15" spans="1:8" ht="92.25" customHeight="1">
      <c r="A15" s="47" t="s">
        <v>10</v>
      </c>
      <c r="B15" s="47"/>
      <c r="C15" s="52">
        <f>C10+C11-C14</f>
        <v>329465.5</v>
      </c>
      <c r="D15" s="50"/>
      <c r="E15" s="50">
        <v>0</v>
      </c>
      <c r="F15" s="50"/>
      <c r="G15" s="50"/>
      <c r="H15" s="50"/>
    </row>
    <row r="16" spans="1:8" ht="13.5" customHeight="1">
      <c r="A16" s="39"/>
      <c r="B16" s="39"/>
      <c r="C16" s="14"/>
      <c r="D16" s="14"/>
      <c r="E16" s="14"/>
      <c r="F16" s="14"/>
      <c r="G16" s="14"/>
      <c r="H16" s="14"/>
    </row>
    <row r="17" spans="1:8" ht="12.75" customHeight="1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6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9">
      <selection activeCell="C13" sqref="C13:D13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44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101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4"/>
      <c r="B9" s="54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52">
        <v>288437.67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82313.9</v>
      </c>
      <c r="D11" s="50"/>
      <c r="E11" s="52">
        <f>147233.82+140703.55</f>
        <v>287937.37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381437.79-E11</f>
        <v>93500.41999999998</v>
      </c>
      <c r="D12" s="50"/>
      <c r="E12" s="52">
        <f>E11</f>
        <v>287937.37</v>
      </c>
      <c r="F12" s="50"/>
      <c r="G12" s="50">
        <v>0</v>
      </c>
      <c r="H12" s="50"/>
    </row>
    <row r="13" spans="1:8" ht="47.25" customHeight="1">
      <c r="A13" s="47" t="s">
        <v>140</v>
      </c>
      <c r="B13" s="47"/>
      <c r="C13" s="52">
        <v>227303.86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241958.97</v>
      </c>
      <c r="D14" s="50"/>
      <c r="E14" s="52">
        <f>E12</f>
        <v>287937.37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128792.59999999995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4"/>
      <c r="D16" s="14"/>
      <c r="E16" s="14"/>
      <c r="F16" s="14"/>
      <c r="G16" s="14"/>
      <c r="H16" s="14"/>
    </row>
    <row r="17" spans="1:8" ht="12.75" customHeight="1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6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BreakPreview" zoomScale="90" zoomScaleNormal="85" zoomScaleSheetLayoutView="90" zoomScalePageLayoutView="0" workbookViewId="0" topLeftCell="A9">
      <selection activeCell="E15" sqref="E15:F15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110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111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52">
        <f>58670.66</f>
        <v>58670.66</v>
      </c>
      <c r="D10" s="50"/>
      <c r="E10" s="45">
        <v>0</v>
      </c>
      <c r="F10" s="46"/>
      <c r="G10" s="43">
        <v>0</v>
      </c>
      <c r="H10" s="44"/>
    </row>
    <row r="11" spans="1:8" ht="15.75">
      <c r="A11" s="47" t="s">
        <v>3</v>
      </c>
      <c r="B11" s="47"/>
      <c r="C11" s="52">
        <v>63851.04</v>
      </c>
      <c r="D11" s="50"/>
      <c r="E11" s="52">
        <f>78444.12+377454.61</f>
        <v>455898.73</v>
      </c>
      <c r="F11" s="50"/>
      <c r="G11" s="52">
        <v>31531.46</v>
      </c>
      <c r="H11" s="52"/>
    </row>
    <row r="12" spans="1:8" ht="32.25" customHeight="1">
      <c r="A12" s="41" t="s">
        <v>149</v>
      </c>
      <c r="B12" s="42"/>
      <c r="C12" s="43">
        <v>137810.7</v>
      </c>
      <c r="D12" s="44"/>
      <c r="E12" s="43">
        <v>0</v>
      </c>
      <c r="F12" s="44"/>
      <c r="G12" s="43">
        <v>0</v>
      </c>
      <c r="H12" s="44"/>
    </row>
    <row r="13" spans="1:8" ht="15.75">
      <c r="A13" s="47" t="s">
        <v>4</v>
      </c>
      <c r="B13" s="47"/>
      <c r="C13" s="52">
        <f>527911.58-E11</f>
        <v>72012.84999999998</v>
      </c>
      <c r="D13" s="50"/>
      <c r="E13" s="52">
        <f>E11</f>
        <v>455898.73</v>
      </c>
      <c r="F13" s="50"/>
      <c r="G13" s="52">
        <v>6040.5</v>
      </c>
      <c r="H13" s="52"/>
    </row>
    <row r="14" spans="1:8" ht="47.25" customHeight="1">
      <c r="A14" s="47" t="s">
        <v>140</v>
      </c>
      <c r="B14" s="47"/>
      <c r="C14" s="52">
        <v>325334.35</v>
      </c>
      <c r="D14" s="50"/>
      <c r="E14" s="50">
        <v>0</v>
      </c>
      <c r="F14" s="50"/>
      <c r="G14" s="52">
        <v>242543.1</v>
      </c>
      <c r="H14" s="52"/>
    </row>
    <row r="15" spans="1:8" ht="33" customHeight="1">
      <c r="A15" s="47" t="s">
        <v>5</v>
      </c>
      <c r="B15" s="47"/>
      <c r="C15" s="52">
        <v>49959.51</v>
      </c>
      <c r="D15" s="50"/>
      <c r="E15" s="52">
        <f>E13</f>
        <v>455898.73</v>
      </c>
      <c r="F15" s="50"/>
      <c r="G15" s="52">
        <v>0</v>
      </c>
      <c r="H15" s="52"/>
    </row>
    <row r="16" spans="1:8" ht="92.25" customHeight="1">
      <c r="A16" s="47" t="s">
        <v>10</v>
      </c>
      <c r="B16" s="47"/>
      <c r="C16" s="52">
        <f>C10+C11+C12-C15</f>
        <v>210372.89</v>
      </c>
      <c r="D16" s="50"/>
      <c r="E16" s="50">
        <v>0</v>
      </c>
      <c r="F16" s="50"/>
      <c r="G16" s="52">
        <v>1808972.79</v>
      </c>
      <c r="H16" s="52"/>
    </row>
    <row r="17" spans="1:8" ht="13.5" customHeight="1">
      <c r="A17" s="39"/>
      <c r="B17" s="39"/>
      <c r="C17" s="19"/>
      <c r="D17" s="19"/>
      <c r="E17" s="19"/>
      <c r="F17" s="19"/>
      <c r="G17" s="19"/>
      <c r="H17" s="19"/>
    </row>
    <row r="18" spans="1:8" ht="12.75" customHeight="1">
      <c r="A18" s="39"/>
      <c r="B18" s="39"/>
      <c r="C18" s="19"/>
      <c r="D18" s="19"/>
      <c r="E18" s="19"/>
      <c r="F18" s="19"/>
      <c r="G18" s="19"/>
      <c r="H18" s="19"/>
    </row>
    <row r="19" spans="1:8" ht="15.75">
      <c r="A19" s="40" t="s">
        <v>8</v>
      </c>
      <c r="B19" s="4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20"/>
      <c r="B21" s="20"/>
      <c r="C21" s="20"/>
      <c r="D21" s="20"/>
      <c r="E21" s="19"/>
      <c r="F21" s="19"/>
      <c r="G21" s="19"/>
      <c r="H21" s="19"/>
    </row>
    <row r="22" spans="1:8" ht="15.75">
      <c r="A22" s="40"/>
      <c r="B22" s="40"/>
      <c r="C22" s="20"/>
      <c r="D22" s="20"/>
      <c r="E22" s="19"/>
      <c r="F22" s="19"/>
      <c r="G22" s="19"/>
      <c r="H22" s="19"/>
    </row>
    <row r="23" spans="1:8" ht="15.75">
      <c r="A23" s="20"/>
      <c r="B23" s="20"/>
      <c r="C23" s="20"/>
      <c r="D23" s="20"/>
      <c r="E23" s="19"/>
      <c r="F23" s="19"/>
      <c r="G23" s="19"/>
      <c r="H23" s="19"/>
    </row>
    <row r="24" spans="1:8" ht="15.75">
      <c r="A24" s="40" t="s">
        <v>9</v>
      </c>
      <c r="B24" s="40"/>
      <c r="C24" s="40"/>
      <c r="D24" s="40"/>
      <c r="E24" s="19"/>
      <c r="F24" s="19"/>
      <c r="G24" s="19"/>
      <c r="H24" s="19"/>
    </row>
    <row r="25" spans="1:8" ht="15.75">
      <c r="A25" s="20"/>
      <c r="B25" s="20"/>
      <c r="C25" s="20"/>
      <c r="D25" s="20"/>
      <c r="E25" s="19"/>
      <c r="F25" s="19"/>
      <c r="G25" s="19"/>
      <c r="H25" s="19"/>
    </row>
    <row r="26" spans="1:8" ht="15.75">
      <c r="A26" s="40" t="s">
        <v>27</v>
      </c>
      <c r="B26" s="40"/>
      <c r="C26" s="20"/>
      <c r="D26" s="20"/>
      <c r="E26" s="19"/>
      <c r="F26" s="19"/>
      <c r="G26" s="19"/>
      <c r="H26" s="19"/>
    </row>
  </sheetData>
  <sheetProtection/>
  <mergeCells count="43">
    <mergeCell ref="A26:B26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A18:B18"/>
    <mergeCell ref="A19:B19"/>
    <mergeCell ref="A22:B22"/>
    <mergeCell ref="A24:D24"/>
    <mergeCell ref="A13:B13"/>
    <mergeCell ref="C13:D13"/>
    <mergeCell ref="E13:F13"/>
    <mergeCell ref="G13:H13"/>
    <mergeCell ref="A14:B14"/>
    <mergeCell ref="C14:D14"/>
    <mergeCell ref="E14:F14"/>
    <mergeCell ref="G14:H14"/>
    <mergeCell ref="A1:H1"/>
    <mergeCell ref="A2:H2"/>
    <mergeCell ref="A3:H3"/>
    <mergeCell ref="A5:H5"/>
    <mergeCell ref="A7:H7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view="pageBreakPreview" zoomScale="90" zoomScaleNormal="85" zoomScaleSheetLayoutView="90" zoomScalePageLayoutView="0" workbookViewId="0" topLeftCell="A7">
      <selection activeCell="C10" sqref="C10:D10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45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102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43">
        <v>-97681.34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45296.76</v>
      </c>
      <c r="D11" s="50"/>
      <c r="E11" s="52">
        <f>54606.9+57380.16</f>
        <v>111987.06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156067.68-E11</f>
        <v>44080.619999999995</v>
      </c>
      <c r="D12" s="50"/>
      <c r="E12" s="52">
        <f>E11</f>
        <v>111987.06</v>
      </c>
      <c r="F12" s="50"/>
      <c r="G12" s="50">
        <v>0</v>
      </c>
      <c r="H12" s="50"/>
    </row>
    <row r="13" spans="1:8" ht="47.25" customHeight="1">
      <c r="A13" s="47" t="s">
        <v>140</v>
      </c>
      <c r="B13" s="47"/>
      <c r="C13" s="52">
        <v>19660.76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1094.94</v>
      </c>
      <c r="D14" s="50"/>
      <c r="E14" s="52">
        <f>E12</f>
        <v>111987.06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-53479.52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  <row r="26" spans="1:4" ht="12.75">
      <c r="A26" s="12"/>
      <c r="B26" s="12"/>
      <c r="C26" s="12"/>
      <c r="D26" s="12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A8" sqref="A1:B65536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46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103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43">
        <v>29474.84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65118.15</v>
      </c>
      <c r="D11" s="50"/>
      <c r="E11" s="52">
        <f>74043.36+70438.8</f>
        <v>144482.16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205965.42-E11</f>
        <v>61483.26000000001</v>
      </c>
      <c r="D12" s="50"/>
      <c r="E12" s="52">
        <f>E11</f>
        <v>144482.16</v>
      </c>
      <c r="F12" s="50"/>
      <c r="G12" s="50">
        <v>0</v>
      </c>
      <c r="H12" s="50"/>
    </row>
    <row r="13" spans="1:8" ht="47.25" customHeight="1">
      <c r="A13" s="47" t="s">
        <v>140</v>
      </c>
      <c r="B13" s="47"/>
      <c r="C13" s="52">
        <v>121846.01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93015</v>
      </c>
      <c r="D14" s="50"/>
      <c r="E14" s="52">
        <f>E12</f>
        <v>144482.16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1577.9900000000052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C12" sqref="C12:D12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48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104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139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43">
        <v>-253528.07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60736.32</v>
      </c>
      <c r="D11" s="50"/>
      <c r="E11" s="52">
        <f>145714.32+138569.71+53619.51</f>
        <v>337903.54000000004</v>
      </c>
      <c r="F11" s="50"/>
      <c r="G11" s="52">
        <v>425052.74</v>
      </c>
      <c r="H11" s="52"/>
    </row>
    <row r="12" spans="1:8" ht="15.75">
      <c r="A12" s="47" t="s">
        <v>4</v>
      </c>
      <c r="B12" s="47"/>
      <c r="C12" s="52">
        <f>467320.97-E11</f>
        <v>129417.42999999993</v>
      </c>
      <c r="D12" s="50"/>
      <c r="E12" s="52">
        <f>E11</f>
        <v>337903.54000000004</v>
      </c>
      <c r="F12" s="50"/>
      <c r="G12" s="52">
        <v>1255553.13</v>
      </c>
      <c r="H12" s="52"/>
    </row>
    <row r="13" spans="1:8" ht="47.25" customHeight="1">
      <c r="A13" s="47" t="s">
        <v>140</v>
      </c>
      <c r="B13" s="47"/>
      <c r="C13" s="52">
        <f>217465.9-40622.03</f>
        <v>176843.87</v>
      </c>
      <c r="D13" s="50"/>
      <c r="E13" s="52">
        <f>E11-E12</f>
        <v>0</v>
      </c>
      <c r="F13" s="50"/>
      <c r="G13" s="52">
        <v>209998.29</v>
      </c>
      <c r="H13" s="52"/>
    </row>
    <row r="14" spans="1:8" ht="33" customHeight="1">
      <c r="A14" s="47" t="s">
        <v>5</v>
      </c>
      <c r="B14" s="47"/>
      <c r="C14" s="52">
        <v>5805.5</v>
      </c>
      <c r="D14" s="50"/>
      <c r="E14" s="52">
        <f>E12</f>
        <v>337903.54000000004</v>
      </c>
      <c r="F14" s="50"/>
      <c r="G14" s="52">
        <v>0</v>
      </c>
      <c r="H14" s="52"/>
    </row>
    <row r="15" spans="1:8" ht="92.25" customHeight="1">
      <c r="A15" s="47" t="s">
        <v>10</v>
      </c>
      <c r="B15" s="47"/>
      <c r="C15" s="52">
        <f>C10+C11-C14</f>
        <v>-198597.25</v>
      </c>
      <c r="D15" s="50"/>
      <c r="E15" s="50">
        <v>0</v>
      </c>
      <c r="F15" s="50"/>
      <c r="G15" s="52">
        <f>G10+G12-G14</f>
        <v>1255553.13</v>
      </c>
      <c r="H15" s="52"/>
    </row>
    <row r="16" spans="1:8" ht="13.5" customHeight="1">
      <c r="A16" s="39"/>
      <c r="B16" s="39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16" t="s">
        <v>27</v>
      </c>
      <c r="B25" s="16"/>
      <c r="C25" s="14"/>
      <c r="D25" s="14"/>
      <c r="E25" s="14"/>
      <c r="F25" s="14"/>
      <c r="G25" s="14"/>
      <c r="H25" s="14"/>
    </row>
  </sheetData>
  <sheetProtection/>
  <mergeCells count="38">
    <mergeCell ref="A16:B16"/>
    <mergeCell ref="A17:B17"/>
    <mergeCell ref="A18:B18"/>
    <mergeCell ref="A21:B21"/>
    <mergeCell ref="A23:D23"/>
    <mergeCell ref="E14:F14"/>
    <mergeCell ref="G14:H14"/>
    <mergeCell ref="A15:B15"/>
    <mergeCell ref="C15:D15"/>
    <mergeCell ref="E15:F15"/>
    <mergeCell ref="G15:H15"/>
    <mergeCell ref="A14:B14"/>
    <mergeCell ref="C14:D14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E10" sqref="E10:F10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49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43">
        <v>-456559.55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152864.25</v>
      </c>
      <c r="D11" s="50"/>
      <c r="E11" s="52">
        <f>70410.09+200615.34+185828.7</f>
        <v>456854.13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620903.25-456854.13</f>
        <v>164049.12</v>
      </c>
      <c r="D12" s="50"/>
      <c r="E12" s="52">
        <f>E11</f>
        <v>456854.13</v>
      </c>
      <c r="F12" s="50"/>
      <c r="G12" s="50">
        <v>0</v>
      </c>
      <c r="H12" s="50"/>
    </row>
    <row r="13" spans="1:8" ht="47.25" customHeight="1">
      <c r="A13" s="47" t="s">
        <v>140</v>
      </c>
      <c r="B13" s="47"/>
      <c r="C13" s="52">
        <v>103354.07</v>
      </c>
      <c r="D13" s="50"/>
      <c r="E13" s="50" t="s">
        <v>50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24703.77</v>
      </c>
      <c r="D14" s="50"/>
      <c r="E14" s="52">
        <f>E12</f>
        <v>456854.13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-328399.07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55"/>
      <c r="B16" s="55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"/>
  <sheetViews>
    <sheetView view="pageBreakPreview" zoomScale="90" zoomScaleSheetLayoutView="90" zoomScalePageLayoutView="0" workbookViewId="0" topLeftCell="A7">
      <selection activeCell="C14" sqref="C14:D14"/>
    </sheetView>
  </sheetViews>
  <sheetFormatPr defaultColWidth="9.140625" defaultRowHeight="12.75"/>
  <cols>
    <col min="1" max="2" width="12.7109375" style="0" customWidth="1"/>
    <col min="4" max="4" width="9.140625" style="0" customWidth="1"/>
    <col min="6" max="6" width="9.140625" style="0" customWidth="1"/>
    <col min="8" max="8" width="9.140625" style="0" customWidth="1"/>
  </cols>
  <sheetData>
    <row r="1" spans="1:8" ht="15.75">
      <c r="A1" s="37" t="s">
        <v>31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90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52">
        <v>-408526.92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114051.66</v>
      </c>
      <c r="D11" s="50"/>
      <c r="E11" s="52">
        <f>310183.51+274978.9+1457.06</f>
        <v>586619.4700000001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732473.36-E11</f>
        <v>145853.8899999999</v>
      </c>
      <c r="D12" s="50"/>
      <c r="E12" s="52">
        <f>E11</f>
        <v>586619.4700000001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220978.77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119528.9</v>
      </c>
      <c r="D14" s="50"/>
      <c r="E14" s="52">
        <f>E12</f>
        <v>586619.4700000001</v>
      </c>
      <c r="F14" s="50"/>
      <c r="G14" s="50">
        <v>0</v>
      </c>
      <c r="H14" s="50"/>
    </row>
    <row r="15" spans="1:8" ht="92.25" customHeight="1">
      <c r="A15" s="41" t="s">
        <v>84</v>
      </c>
      <c r="B15" s="42"/>
      <c r="C15" s="52">
        <f>C10+C11-C14</f>
        <v>-414004.16000000003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4"/>
      <c r="D16" s="14"/>
      <c r="E16" s="14"/>
      <c r="F16" s="14"/>
      <c r="G16" s="14"/>
      <c r="H16" s="14"/>
    </row>
    <row r="17" spans="1:8" ht="12.75" customHeight="1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6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40" t="s">
        <v>9</v>
      </c>
      <c r="B20" s="40"/>
      <c r="C20" s="40"/>
      <c r="D20" s="40"/>
      <c r="E20" s="14"/>
      <c r="F20" s="14"/>
      <c r="G20" s="14"/>
      <c r="H20" s="14"/>
    </row>
    <row r="21" spans="1:8" ht="15.75">
      <c r="A21" s="16"/>
      <c r="B21" s="16"/>
      <c r="C21" s="16"/>
      <c r="D21" s="16"/>
      <c r="E21" s="14"/>
      <c r="F21" s="14"/>
      <c r="G21" s="14"/>
      <c r="H21" s="14"/>
    </row>
    <row r="22" spans="1:8" ht="15.75">
      <c r="A22" s="40" t="s">
        <v>27</v>
      </c>
      <c r="B22" s="40"/>
      <c r="C22" s="16"/>
      <c r="D22" s="16"/>
      <c r="E22" s="14"/>
      <c r="F22" s="14"/>
      <c r="G22" s="14"/>
      <c r="H22" s="14"/>
    </row>
    <row r="23" spans="1:8" ht="15.75">
      <c r="A23" s="14"/>
      <c r="B23" s="14"/>
      <c r="C23" s="14"/>
      <c r="D23" s="14"/>
      <c r="E23" s="14"/>
      <c r="F23" s="14"/>
      <c r="G23" s="14"/>
      <c r="H23" s="14"/>
    </row>
    <row r="24" spans="1:8" ht="15.75">
      <c r="A24" s="38"/>
      <c r="B24" s="38"/>
      <c r="C24" s="38"/>
      <c r="D24" s="38"/>
      <c r="E24" s="38"/>
      <c r="F24" s="38"/>
      <c r="G24" s="38"/>
      <c r="H24" s="38"/>
    </row>
    <row r="25" spans="1:8" ht="15.75">
      <c r="A25" s="38"/>
      <c r="B25" s="38"/>
      <c r="C25" s="38"/>
      <c r="D25" s="38"/>
      <c r="E25" s="38"/>
      <c r="F25" s="38"/>
      <c r="G25" s="38"/>
      <c r="H25" s="14"/>
    </row>
    <row r="26" spans="1:8" ht="15.75">
      <c r="A26" s="14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3"/>
      <c r="C27" s="13"/>
      <c r="D27" s="13"/>
      <c r="E27" s="13"/>
      <c r="F27" s="13"/>
      <c r="G27" s="13"/>
      <c r="H27" s="15"/>
    </row>
    <row r="28" s="1" customFormat="1" ht="14.25"/>
    <row r="29" spans="3:4" s="1" customFormat="1" ht="14.25">
      <c r="C29" s="4"/>
      <c r="D29" s="4"/>
    </row>
  </sheetData>
  <sheetProtection/>
  <mergeCells count="40">
    <mergeCell ref="A25:G25"/>
    <mergeCell ref="A16:B16"/>
    <mergeCell ref="A17:B17"/>
    <mergeCell ref="A18:B18"/>
    <mergeCell ref="A20:D20"/>
    <mergeCell ref="A22:B22"/>
    <mergeCell ref="A24:H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view="pageBreakPreview" zoomScale="90" zoomScaleNormal="85" zoomScaleSheetLayoutView="90" zoomScalePageLayoutView="0" workbookViewId="0" topLeftCell="A7">
      <selection activeCell="C11" sqref="C11:D11"/>
    </sheetView>
  </sheetViews>
  <sheetFormatPr defaultColWidth="9.140625" defaultRowHeight="12.75"/>
  <cols>
    <col min="1" max="2" width="12.7109375" style="0" customWidth="1"/>
    <col min="4" max="4" width="9.140625" style="0" customWidth="1"/>
  </cols>
  <sheetData>
    <row r="1" spans="1:8" ht="15.75">
      <c r="A1" s="37" t="s">
        <v>51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94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52</v>
      </c>
      <c r="B10" s="42"/>
      <c r="C10" s="43">
        <v>-186145.71</v>
      </c>
      <c r="D10" s="46"/>
      <c r="E10" s="45">
        <v>0</v>
      </c>
      <c r="F10" s="46"/>
      <c r="G10" s="43">
        <v>0</v>
      </c>
      <c r="H10" s="44"/>
    </row>
    <row r="11" spans="1:8" ht="15.75">
      <c r="A11" s="47" t="s">
        <v>3</v>
      </c>
      <c r="B11" s="47"/>
      <c r="C11" s="52">
        <f>82037.22+88212.9</f>
        <v>170250.12</v>
      </c>
      <c r="D11" s="50"/>
      <c r="E11" s="52">
        <f>157895.46+164072.1</f>
        <v>321967.56</v>
      </c>
      <c r="F11" s="50"/>
      <c r="G11" s="52">
        <f>26380.22*5+2245.98</f>
        <v>134147.08000000002</v>
      </c>
      <c r="H11" s="52"/>
    </row>
    <row r="12" spans="1:8" ht="15.75">
      <c r="A12" s="47" t="s">
        <v>4</v>
      </c>
      <c r="B12" s="47"/>
      <c r="C12" s="52">
        <f>499515.39-E11</f>
        <v>177547.83000000002</v>
      </c>
      <c r="D12" s="50"/>
      <c r="E12" s="52">
        <f>E11</f>
        <v>321967.56</v>
      </c>
      <c r="F12" s="50"/>
      <c r="G12" s="52">
        <v>107391.77</v>
      </c>
      <c r="H12" s="52"/>
    </row>
    <row r="13" spans="1:8" ht="47.25" customHeight="1">
      <c r="A13" s="47" t="s">
        <v>140</v>
      </c>
      <c r="B13" s="47"/>
      <c r="C13" s="52">
        <f>267044.27-25835.42</f>
        <v>241208.85000000003</v>
      </c>
      <c r="D13" s="50"/>
      <c r="E13" s="50">
        <v>0</v>
      </c>
      <c r="F13" s="50"/>
      <c r="G13" s="52">
        <v>379723.16</v>
      </c>
      <c r="H13" s="52"/>
    </row>
    <row r="14" spans="1:8" ht="33" customHeight="1">
      <c r="A14" s="47" t="s">
        <v>5</v>
      </c>
      <c r="B14" s="47"/>
      <c r="C14" s="52">
        <v>34356</v>
      </c>
      <c r="D14" s="50"/>
      <c r="E14" s="52">
        <f>E12</f>
        <v>321967.56</v>
      </c>
      <c r="F14" s="50"/>
      <c r="G14" s="52">
        <v>0</v>
      </c>
      <c r="H14" s="52"/>
    </row>
    <row r="15" spans="1:8" ht="92.25" customHeight="1">
      <c r="A15" s="47" t="s">
        <v>10</v>
      </c>
      <c r="B15" s="47"/>
      <c r="C15" s="52">
        <f>C10+C11-C14</f>
        <v>-50251.59</v>
      </c>
      <c r="D15" s="50"/>
      <c r="E15" s="50">
        <v>0</v>
      </c>
      <c r="F15" s="50"/>
      <c r="G15" s="52">
        <v>1341602.25</v>
      </c>
      <c r="H15" s="52"/>
    </row>
    <row r="16" spans="1:8" ht="13.5" customHeight="1">
      <c r="A16" s="39"/>
      <c r="B16" s="39"/>
      <c r="C16" s="14"/>
      <c r="D16" s="14"/>
      <c r="E16" s="14"/>
      <c r="F16" s="14"/>
      <c r="G16" s="14"/>
      <c r="H16" s="14"/>
    </row>
    <row r="17" spans="1:8" ht="12.75" customHeight="1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6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  <row r="26" spans="1:8" ht="15.75">
      <c r="A26" s="14"/>
      <c r="B26" s="14"/>
      <c r="C26" s="14"/>
      <c r="D26" s="14"/>
      <c r="E26" s="14"/>
      <c r="F26" s="14"/>
      <c r="G26" s="14"/>
      <c r="H26" s="14"/>
    </row>
    <row r="27" spans="1:8" ht="15.75">
      <c r="A27" s="57"/>
      <c r="B27" s="57"/>
      <c r="C27" s="57"/>
      <c r="D27" s="57"/>
      <c r="E27" s="57"/>
      <c r="F27" s="57"/>
      <c r="G27" s="57"/>
      <c r="H27" s="5"/>
    </row>
    <row r="28" spans="1:8" ht="15.75">
      <c r="A28" s="57"/>
      <c r="B28" s="57"/>
      <c r="C28" s="57"/>
      <c r="D28" s="57"/>
      <c r="E28" s="57"/>
      <c r="F28" s="57"/>
      <c r="G28" s="11"/>
      <c r="H28" s="5"/>
    </row>
    <row r="29" spans="1:8" ht="15.75">
      <c r="A29" s="5"/>
      <c r="B29" s="5"/>
      <c r="C29" s="5"/>
      <c r="D29" s="5"/>
      <c r="E29" s="5"/>
      <c r="F29" s="5"/>
      <c r="G29" s="5"/>
      <c r="H29" s="5"/>
    </row>
    <row r="30" spans="1:8" ht="15.75">
      <c r="A30" s="5"/>
      <c r="B30" s="5"/>
      <c r="C30" s="5"/>
      <c r="D30" s="5"/>
      <c r="E30" s="5"/>
      <c r="F30" s="5"/>
      <c r="G30" s="5"/>
      <c r="H30" s="5"/>
    </row>
  </sheetData>
  <sheetProtection/>
  <mergeCells count="41">
    <mergeCell ref="A27:G27"/>
    <mergeCell ref="A28:F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view="pageBreakPreview" zoomScale="90" zoomScaleNormal="85" zoomScaleSheetLayoutView="90" zoomScalePageLayoutView="0" workbookViewId="0" topLeftCell="A7">
      <selection activeCell="A9" sqref="A9:B9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53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106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43">
        <v>25655.48</v>
      </c>
      <c r="D10" s="46"/>
      <c r="E10" s="45">
        <v>0</v>
      </c>
      <c r="F10" s="46"/>
      <c r="G10" s="43">
        <v>0</v>
      </c>
      <c r="H10" s="44"/>
    </row>
    <row r="11" spans="1:8" ht="15.75">
      <c r="A11" s="47" t="s">
        <v>3</v>
      </c>
      <c r="B11" s="47"/>
      <c r="C11" s="52">
        <v>167721.84</v>
      </c>
      <c r="D11" s="50"/>
      <c r="E11" s="52">
        <f>209398.08+220071.48</f>
        <v>429469.56</v>
      </c>
      <c r="F11" s="50"/>
      <c r="G11" s="52">
        <v>518445.08</v>
      </c>
      <c r="H11" s="52"/>
    </row>
    <row r="12" spans="1:8" ht="15.75">
      <c r="A12" s="47" t="s">
        <v>4</v>
      </c>
      <c r="B12" s="47"/>
      <c r="C12" s="52">
        <f>579329.81-E11</f>
        <v>149860.25000000006</v>
      </c>
      <c r="D12" s="50"/>
      <c r="E12" s="52">
        <f>E11</f>
        <v>429469.56</v>
      </c>
      <c r="F12" s="50"/>
      <c r="G12" s="52">
        <v>2057912.74</v>
      </c>
      <c r="H12" s="52"/>
    </row>
    <row r="13" spans="1:8" ht="47.25" customHeight="1">
      <c r="A13" s="47" t="s">
        <v>140</v>
      </c>
      <c r="B13" s="47"/>
      <c r="C13" s="52">
        <f>131254.19-493.01</f>
        <v>130761.18000000001</v>
      </c>
      <c r="D13" s="50"/>
      <c r="E13" s="50">
        <v>0</v>
      </c>
      <c r="F13" s="50"/>
      <c r="G13" s="52">
        <v>233756.96</v>
      </c>
      <c r="H13" s="52"/>
    </row>
    <row r="14" spans="1:8" ht="33" customHeight="1">
      <c r="A14" s="47" t="s">
        <v>5</v>
      </c>
      <c r="B14" s="47"/>
      <c r="C14" s="52">
        <v>26114</v>
      </c>
      <c r="D14" s="50"/>
      <c r="E14" s="52">
        <f>E12</f>
        <v>429469.56</v>
      </c>
      <c r="F14" s="50"/>
      <c r="G14" s="52">
        <v>0</v>
      </c>
      <c r="H14" s="52"/>
    </row>
    <row r="15" spans="1:8" ht="92.25" customHeight="1">
      <c r="A15" s="47" t="s">
        <v>81</v>
      </c>
      <c r="B15" s="47"/>
      <c r="C15" s="52">
        <f>C10+C11-C14</f>
        <v>167263.32</v>
      </c>
      <c r="D15" s="50"/>
      <c r="E15" s="50">
        <v>0</v>
      </c>
      <c r="F15" s="50"/>
      <c r="G15" s="52">
        <f>G10+G12-G14</f>
        <v>2057912.74</v>
      </c>
      <c r="H15" s="52"/>
    </row>
    <row r="16" spans="1:8" ht="13.5" customHeight="1">
      <c r="A16" s="39"/>
      <c r="B16" s="39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40"/>
      <c r="B20" s="40"/>
      <c r="C20" s="16"/>
      <c r="D20" s="16"/>
      <c r="E20" s="14"/>
      <c r="F20" s="14"/>
      <c r="G20" s="14"/>
      <c r="H20" s="14"/>
    </row>
    <row r="21" spans="1:8" ht="15.75">
      <c r="A21" s="16"/>
      <c r="B21" s="16"/>
      <c r="C21" s="16"/>
      <c r="D21" s="16"/>
      <c r="E21" s="14"/>
      <c r="F21" s="14"/>
      <c r="G21" s="14"/>
      <c r="H21" s="14"/>
    </row>
    <row r="22" spans="1:8" ht="15.75">
      <c r="A22" s="40"/>
      <c r="B22" s="40"/>
      <c r="C22" s="16"/>
      <c r="D22" s="16"/>
      <c r="E22" s="14"/>
      <c r="F22" s="14"/>
      <c r="G22" s="14"/>
      <c r="H22" s="14"/>
    </row>
    <row r="23" spans="1:8" ht="15.75">
      <c r="A23" s="16"/>
      <c r="B23" s="16"/>
      <c r="C23" s="16"/>
      <c r="D23" s="16"/>
      <c r="E23" s="14"/>
      <c r="F23" s="14"/>
      <c r="G23" s="14"/>
      <c r="H23" s="14"/>
    </row>
    <row r="24" spans="1:8" ht="15.75">
      <c r="A24" s="40" t="s">
        <v>9</v>
      </c>
      <c r="B24" s="40"/>
      <c r="C24" s="40"/>
      <c r="D24" s="40"/>
      <c r="E24" s="14"/>
      <c r="F24" s="14"/>
      <c r="G24" s="14"/>
      <c r="H24" s="14"/>
    </row>
    <row r="25" spans="1:8" ht="15.75">
      <c r="A25" s="16"/>
      <c r="B25" s="16"/>
      <c r="C25" s="16"/>
      <c r="D25" s="16"/>
      <c r="E25" s="14"/>
      <c r="F25" s="14"/>
      <c r="G25" s="14"/>
      <c r="H25" s="14"/>
    </row>
    <row r="26" spans="1:8" ht="15.75">
      <c r="A26" s="40" t="s">
        <v>27</v>
      </c>
      <c r="B26" s="40"/>
      <c r="C26" s="16"/>
      <c r="D26" s="16"/>
      <c r="E26" s="14"/>
      <c r="F26" s="14"/>
      <c r="G26" s="14"/>
      <c r="H26" s="14"/>
    </row>
  </sheetData>
  <sheetProtection/>
  <mergeCells count="40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H31"/>
  <sheetViews>
    <sheetView view="pageBreakPreview" zoomScale="90" zoomScaleNormal="85" zoomScaleSheetLayoutView="90" zoomScalePageLayoutView="0" workbookViewId="0" topLeftCell="A10">
      <selection activeCell="C11" sqref="C11:F11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54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107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43">
        <v>-476903.81</v>
      </c>
      <c r="D10" s="46"/>
      <c r="E10" s="45">
        <v>0</v>
      </c>
      <c r="F10" s="46"/>
      <c r="G10" s="43">
        <v>0</v>
      </c>
      <c r="H10" s="44"/>
    </row>
    <row r="11" spans="1:8" ht="15.75">
      <c r="A11" s="47" t="s">
        <v>3</v>
      </c>
      <c r="B11" s="47"/>
      <c r="C11" s="52">
        <v>136398.51</v>
      </c>
      <c r="D11" s="50"/>
      <c r="E11" s="52">
        <f>240925.44+252009.55</f>
        <v>492934.99</v>
      </c>
      <c r="F11" s="50"/>
      <c r="G11" s="52">
        <v>686367.84</v>
      </c>
      <c r="H11" s="52"/>
    </row>
    <row r="12" spans="1:8" ht="15.75">
      <c r="A12" s="47" t="s">
        <v>4</v>
      </c>
      <c r="B12" s="47"/>
      <c r="C12" s="52">
        <f>617128.55-E11</f>
        <v>124193.56000000006</v>
      </c>
      <c r="D12" s="50"/>
      <c r="E12" s="52">
        <f>E11</f>
        <v>492934.99</v>
      </c>
      <c r="F12" s="50"/>
      <c r="G12" s="52">
        <v>1905457.49</v>
      </c>
      <c r="H12" s="52"/>
    </row>
    <row r="13" spans="1:8" ht="47.25" customHeight="1">
      <c r="A13" s="47" t="s">
        <v>140</v>
      </c>
      <c r="B13" s="47"/>
      <c r="C13" s="52">
        <f>247586.21-24341.59</f>
        <v>223244.62</v>
      </c>
      <c r="D13" s="50"/>
      <c r="E13" s="50">
        <v>0</v>
      </c>
      <c r="F13" s="50"/>
      <c r="G13" s="52">
        <v>419738.82</v>
      </c>
      <c r="H13" s="52"/>
    </row>
    <row r="14" spans="1:8" ht="33" customHeight="1">
      <c r="A14" s="47" t="s">
        <v>5</v>
      </c>
      <c r="B14" s="47"/>
      <c r="C14" s="52">
        <v>9416</v>
      </c>
      <c r="D14" s="50"/>
      <c r="E14" s="52">
        <f>E11</f>
        <v>492934.99</v>
      </c>
      <c r="F14" s="50"/>
      <c r="G14" s="52">
        <v>0</v>
      </c>
      <c r="H14" s="52"/>
    </row>
    <row r="15" spans="1:8" ht="92.25" customHeight="1">
      <c r="A15" s="47" t="s">
        <v>10</v>
      </c>
      <c r="B15" s="47"/>
      <c r="C15" s="52">
        <f>C10+C11-C14</f>
        <v>-349921.3</v>
      </c>
      <c r="D15" s="50"/>
      <c r="E15" s="50">
        <v>0</v>
      </c>
      <c r="F15" s="50"/>
      <c r="G15" s="52">
        <f>G10+G12-G14</f>
        <v>1905457.49</v>
      </c>
      <c r="H15" s="52"/>
    </row>
    <row r="16" spans="1:8" ht="13.5" customHeight="1">
      <c r="A16" s="39"/>
      <c r="B16" s="39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16"/>
      <c r="B21" s="16"/>
      <c r="C21" s="16"/>
      <c r="D21" s="16"/>
      <c r="E21" s="14"/>
      <c r="F21" s="14"/>
      <c r="G21" s="14"/>
      <c r="H21" s="14"/>
    </row>
    <row r="22" spans="1:8" ht="15.75">
      <c r="A22" s="40" t="s">
        <v>9</v>
      </c>
      <c r="B22" s="40"/>
      <c r="C22" s="40"/>
      <c r="D22" s="40"/>
      <c r="E22" s="14"/>
      <c r="F22" s="14"/>
      <c r="G22" s="14"/>
      <c r="H22" s="14"/>
    </row>
    <row r="23" spans="1:8" ht="15.75">
      <c r="A23" s="16"/>
      <c r="B23" s="16"/>
      <c r="C23" s="16"/>
      <c r="D23" s="16"/>
      <c r="E23" s="14"/>
      <c r="F23" s="14"/>
      <c r="G23" s="14"/>
      <c r="H23" s="14"/>
    </row>
    <row r="24" spans="1:8" ht="15.75">
      <c r="A24" s="40" t="s">
        <v>29</v>
      </c>
      <c r="B24" s="40"/>
      <c r="C24" s="16"/>
      <c r="D24" s="16"/>
      <c r="E24" s="14"/>
      <c r="F24" s="14"/>
      <c r="G24" s="14"/>
      <c r="H24" s="14"/>
    </row>
    <row r="25" spans="1:8" ht="15.75">
      <c r="A25" s="14"/>
      <c r="B25" s="14"/>
      <c r="C25" s="14"/>
      <c r="D25" s="14"/>
      <c r="E25" s="14"/>
      <c r="F25" s="14"/>
      <c r="G25" s="14"/>
      <c r="H25" s="14"/>
    </row>
    <row r="26" spans="1:8" ht="15.75">
      <c r="A26" s="14"/>
      <c r="B26" s="14"/>
      <c r="C26" s="14"/>
      <c r="D26" s="14"/>
      <c r="E26" s="14"/>
      <c r="F26" s="14"/>
      <c r="G26" s="14"/>
      <c r="H26" s="14"/>
    </row>
    <row r="27" spans="1:8" ht="15.75">
      <c r="A27" s="38"/>
      <c r="B27" s="38"/>
      <c r="C27" s="38"/>
      <c r="D27" s="38"/>
      <c r="E27" s="38"/>
      <c r="F27" s="38"/>
      <c r="G27" s="38"/>
      <c r="H27" s="38"/>
    </row>
    <row r="28" spans="1:8" ht="15.75">
      <c r="A28" s="38"/>
      <c r="B28" s="38"/>
      <c r="C28" s="38"/>
      <c r="D28" s="38"/>
      <c r="E28" s="38"/>
      <c r="F28" s="38"/>
      <c r="G28" s="38"/>
      <c r="H28" s="14"/>
    </row>
    <row r="29" spans="1:8" ht="15.75">
      <c r="A29" s="14"/>
      <c r="B29" s="14"/>
      <c r="C29" s="14"/>
      <c r="D29" s="14"/>
      <c r="E29" s="14"/>
      <c r="F29" s="14"/>
      <c r="G29" s="14"/>
      <c r="H29" s="14"/>
    </row>
    <row r="30" spans="1:8" ht="15.75">
      <c r="A30" s="38"/>
      <c r="B30" s="38"/>
      <c r="C30" s="38"/>
      <c r="D30" s="38"/>
      <c r="E30" s="38"/>
      <c r="F30" s="38"/>
      <c r="G30" s="14"/>
      <c r="H30" s="14"/>
    </row>
    <row r="31" spans="1:8" ht="15.75">
      <c r="A31" s="38"/>
      <c r="B31" s="38"/>
      <c r="C31" s="38"/>
      <c r="D31" s="38"/>
      <c r="E31" s="38"/>
      <c r="F31" s="38"/>
      <c r="G31" s="14"/>
      <c r="H31" s="14"/>
    </row>
  </sheetData>
  <sheetProtection/>
  <mergeCells count="42">
    <mergeCell ref="A28:G28"/>
    <mergeCell ref="A30:F30"/>
    <mergeCell ref="A31:F31"/>
    <mergeCell ref="A16:B16"/>
    <mergeCell ref="A17:B17"/>
    <mergeCell ref="A18:B18"/>
    <mergeCell ref="A22:D22"/>
    <mergeCell ref="A24:B24"/>
    <mergeCell ref="A27:H2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view="pageBreakPreview" zoomScale="90" zoomScaleNormal="85" zoomScaleSheetLayoutView="90" zoomScalePageLayoutView="0" workbookViewId="0" topLeftCell="A8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55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108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52</v>
      </c>
      <c r="B10" s="42"/>
      <c r="C10" s="43">
        <v>-7335</v>
      </c>
      <c r="D10" s="46"/>
      <c r="E10" s="45">
        <v>0</v>
      </c>
      <c r="F10" s="46"/>
      <c r="G10" s="43">
        <v>0</v>
      </c>
      <c r="H10" s="44"/>
    </row>
    <row r="11" spans="1:8" ht="15.75">
      <c r="A11" s="47" t="s">
        <v>3</v>
      </c>
      <c r="B11" s="47"/>
      <c r="C11" s="52">
        <v>182626.58</v>
      </c>
      <c r="D11" s="50"/>
      <c r="E11" s="52">
        <f>220497.08+231772.86</f>
        <v>452269.93999999994</v>
      </c>
      <c r="F11" s="50"/>
      <c r="G11" s="52">
        <v>550780.74</v>
      </c>
      <c r="H11" s="52"/>
    </row>
    <row r="12" spans="1:8" ht="15.75">
      <c r="A12" s="47" t="s">
        <v>4</v>
      </c>
      <c r="B12" s="47"/>
      <c r="C12" s="52">
        <f>616888.2-E11</f>
        <v>164618.26</v>
      </c>
      <c r="D12" s="50"/>
      <c r="E12" s="52">
        <f>E11</f>
        <v>452269.93999999994</v>
      </c>
      <c r="F12" s="50"/>
      <c r="G12" s="52">
        <v>2063088.82</v>
      </c>
      <c r="H12" s="52"/>
    </row>
    <row r="13" spans="1:8" ht="47.25" customHeight="1">
      <c r="A13" s="47" t="s">
        <v>140</v>
      </c>
      <c r="B13" s="47"/>
      <c r="C13" s="52">
        <f>137614.01-1598.54</f>
        <v>136015.47</v>
      </c>
      <c r="D13" s="50"/>
      <c r="E13" s="50">
        <v>0</v>
      </c>
      <c r="F13" s="50"/>
      <c r="G13" s="52">
        <v>258747.12</v>
      </c>
      <c r="H13" s="52"/>
    </row>
    <row r="14" spans="1:8" ht="33" customHeight="1">
      <c r="A14" s="47" t="s">
        <v>5</v>
      </c>
      <c r="B14" s="47"/>
      <c r="C14" s="52">
        <v>324728</v>
      </c>
      <c r="D14" s="50"/>
      <c r="E14" s="52">
        <f>E11</f>
        <v>452269.93999999994</v>
      </c>
      <c r="F14" s="50"/>
      <c r="G14" s="52">
        <v>2009421.6</v>
      </c>
      <c r="H14" s="52"/>
    </row>
    <row r="15" spans="1:8" ht="92.25" customHeight="1">
      <c r="A15" s="47" t="s">
        <v>10</v>
      </c>
      <c r="B15" s="47"/>
      <c r="C15" s="52">
        <f>C10+C11-C14</f>
        <v>-149436.42</v>
      </c>
      <c r="D15" s="50"/>
      <c r="E15" s="50">
        <v>0</v>
      </c>
      <c r="F15" s="50"/>
      <c r="G15" s="52">
        <f>G10+G12-G14</f>
        <v>53667.21999999997</v>
      </c>
      <c r="H15" s="52"/>
    </row>
    <row r="16" spans="1:8" ht="13.5" customHeight="1">
      <c r="A16" s="39"/>
      <c r="B16" s="39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40"/>
      <c r="B20" s="40"/>
      <c r="C20" s="16"/>
      <c r="D20" s="16"/>
      <c r="E20" s="14"/>
      <c r="F20" s="14"/>
      <c r="G20" s="14"/>
      <c r="H20" s="14"/>
    </row>
    <row r="21" spans="1:8" ht="15.75">
      <c r="A21" s="16"/>
      <c r="B21" s="16"/>
      <c r="C21" s="16"/>
      <c r="D21" s="16"/>
      <c r="E21" s="14"/>
      <c r="F21" s="14"/>
      <c r="G21" s="14"/>
      <c r="H21" s="14"/>
    </row>
    <row r="22" spans="1:8" ht="15.75">
      <c r="A22" s="40"/>
      <c r="B22" s="40"/>
      <c r="C22" s="16"/>
      <c r="D22" s="16"/>
      <c r="E22" s="14"/>
      <c r="F22" s="14"/>
      <c r="G22" s="14"/>
      <c r="H22" s="14"/>
    </row>
    <row r="23" spans="1:8" ht="15.75">
      <c r="A23" s="16"/>
      <c r="B23" s="16"/>
      <c r="C23" s="16"/>
      <c r="D23" s="16"/>
      <c r="E23" s="14"/>
      <c r="F23" s="14"/>
      <c r="G23" s="14"/>
      <c r="H23" s="14"/>
    </row>
    <row r="24" spans="1:8" ht="15.75">
      <c r="A24" s="40" t="s">
        <v>9</v>
      </c>
      <c r="B24" s="40"/>
      <c r="C24" s="40"/>
      <c r="D24" s="40"/>
      <c r="E24" s="14"/>
      <c r="F24" s="14"/>
      <c r="G24" s="14"/>
      <c r="H24" s="14"/>
    </row>
    <row r="25" spans="1:8" ht="15.75">
      <c r="A25" s="16"/>
      <c r="B25" s="16"/>
      <c r="C25" s="16"/>
      <c r="D25" s="16"/>
      <c r="E25" s="14"/>
      <c r="F25" s="14"/>
      <c r="G25" s="14"/>
      <c r="H25" s="14"/>
    </row>
    <row r="26" spans="1:8" ht="15.75">
      <c r="A26" s="40" t="s">
        <v>29</v>
      </c>
      <c r="B26" s="40"/>
      <c r="C26" s="16"/>
      <c r="D26" s="16"/>
      <c r="E26" s="14"/>
      <c r="F26" s="14"/>
      <c r="G26" s="14"/>
      <c r="H26" s="14"/>
    </row>
  </sheetData>
  <sheetProtection/>
  <mergeCells count="40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10">
      <selection activeCell="C11" sqref="C11:D11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56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57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43">
        <v>18696.16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43238.88</v>
      </c>
      <c r="D11" s="50"/>
      <c r="E11" s="52">
        <f>54016.38+56694.12</f>
        <v>110710.5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159704.85-E11</f>
        <v>48994.350000000006</v>
      </c>
      <c r="D12" s="50"/>
      <c r="E12" s="52">
        <f>E11</f>
        <v>110710.5</v>
      </c>
      <c r="F12" s="50"/>
      <c r="G12" s="50">
        <v>0</v>
      </c>
      <c r="H12" s="50"/>
    </row>
    <row r="13" spans="1:8" ht="47.25" customHeight="1">
      <c r="A13" s="47" t="s">
        <v>140</v>
      </c>
      <c r="B13" s="47"/>
      <c r="C13" s="52">
        <v>134767.49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5344</v>
      </c>
      <c r="D14" s="50"/>
      <c r="E14" s="52">
        <f>E11</f>
        <v>110710.5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56591.03999999999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55"/>
      <c r="B16" s="55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10">
      <selection activeCell="C13" sqref="C13:F13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58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59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43">
        <v>-24904.27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0</v>
      </c>
      <c r="D11" s="50"/>
      <c r="E11" s="52">
        <f>29447.76+30502.11</f>
        <v>59949.869999999995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v>0</v>
      </c>
      <c r="D12" s="50"/>
      <c r="E12" s="52">
        <v>54991.18</v>
      </c>
      <c r="F12" s="50"/>
      <c r="G12" s="50">
        <v>0</v>
      </c>
      <c r="H12" s="50"/>
    </row>
    <row r="13" spans="1:8" ht="47.25" customHeight="1">
      <c r="A13" s="47" t="s">
        <v>140</v>
      </c>
      <c r="B13" s="47"/>
      <c r="C13" s="52">
        <f>34694.15-E13</f>
        <v>29735.460000000006</v>
      </c>
      <c r="D13" s="50"/>
      <c r="E13" s="52">
        <f>E11-E12</f>
        <v>4958.689999999995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1094.94</v>
      </c>
      <c r="D14" s="50"/>
      <c r="E14" s="52">
        <f>E11</f>
        <v>59949.869999999995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-25999.21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1">
      <selection activeCell="A4" sqref="A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60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109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43">
        <v>-101877.04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13468.08</v>
      </c>
      <c r="D11" s="50"/>
      <c r="E11" s="52">
        <f>17060.88+16236.18</f>
        <v>33297.06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59291.49-E11</f>
        <v>25994.43</v>
      </c>
      <c r="D12" s="50"/>
      <c r="E12" s="52">
        <f>E11</f>
        <v>33297.06</v>
      </c>
      <c r="F12" s="50"/>
      <c r="G12" s="50">
        <v>0</v>
      </c>
      <c r="H12" s="50"/>
    </row>
    <row r="13" spans="1:8" ht="47.25" customHeight="1">
      <c r="A13" s="47" t="s">
        <v>140</v>
      </c>
      <c r="B13" s="47"/>
      <c r="C13" s="52">
        <v>11555.67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0</v>
      </c>
      <c r="D14" s="50"/>
      <c r="E14" s="52">
        <f>E12</f>
        <v>33297.06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-88408.95999999999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4"/>
      <c r="D16" s="14"/>
      <c r="E16" s="14"/>
      <c r="F16" s="14"/>
      <c r="G16" s="14"/>
      <c r="H16" s="14"/>
    </row>
    <row r="17" spans="1:8" ht="12.75" customHeight="1">
      <c r="A17" s="39"/>
      <c r="B17" s="39"/>
      <c r="C17" s="2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25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10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88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123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15.75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48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3.75" customHeight="1">
      <c r="A10" s="41" t="s">
        <v>22</v>
      </c>
      <c r="B10" s="42"/>
      <c r="C10" s="52">
        <v>-176820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0</v>
      </c>
      <c r="D11" s="50"/>
      <c r="E11" s="52">
        <f>233475.12+24635.17+29707.26</f>
        <v>287817.55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v>0</v>
      </c>
      <c r="D12" s="50"/>
      <c r="E12" s="52">
        <f>410101.63-124122.67</f>
        <v>285978.96</v>
      </c>
      <c r="F12" s="50"/>
      <c r="G12" s="50">
        <v>0</v>
      </c>
      <c r="H12" s="50"/>
    </row>
    <row r="13" spans="1:8" ht="57" customHeight="1">
      <c r="A13" s="41" t="s">
        <v>140</v>
      </c>
      <c r="B13" s="42"/>
      <c r="C13" s="52"/>
      <c r="D13" s="50"/>
      <c r="E13" s="52">
        <v>100056.21</v>
      </c>
      <c r="F13" s="50"/>
      <c r="G13" s="50">
        <v>0</v>
      </c>
      <c r="H13" s="50"/>
    </row>
    <row r="14" spans="1:8" ht="47.25" customHeight="1">
      <c r="A14" s="47" t="s">
        <v>5</v>
      </c>
      <c r="B14" s="47"/>
      <c r="C14" s="52">
        <v>99599</v>
      </c>
      <c r="D14" s="50"/>
      <c r="E14" s="52">
        <f>E11</f>
        <v>287817.55</v>
      </c>
      <c r="F14" s="50"/>
      <c r="G14" s="50">
        <v>0</v>
      </c>
      <c r="H14" s="50"/>
    </row>
    <row r="15" spans="1:8" ht="133.5" customHeight="1">
      <c r="A15" s="47" t="s">
        <v>10</v>
      </c>
      <c r="B15" s="47"/>
      <c r="C15" s="52">
        <f>C10+C11-C14</f>
        <v>-276419</v>
      </c>
      <c r="D15" s="50"/>
      <c r="E15" s="50">
        <v>0</v>
      </c>
      <c r="F15" s="50"/>
      <c r="G15" s="50">
        <v>0</v>
      </c>
      <c r="H15" s="50"/>
    </row>
    <row r="16" spans="1:8" ht="15.75">
      <c r="A16" s="39"/>
      <c r="B16" s="39"/>
      <c r="C16" s="19"/>
      <c r="D16" s="19"/>
      <c r="E16" s="19"/>
      <c r="F16" s="19"/>
      <c r="G16" s="19"/>
      <c r="H16" s="19"/>
    </row>
    <row r="17" spans="1:8" ht="15.75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38" t="s">
        <v>8</v>
      </c>
      <c r="B18" s="38"/>
      <c r="C18" s="19"/>
      <c r="D18" s="19"/>
      <c r="E18" s="19"/>
      <c r="F18" s="19"/>
      <c r="G18" s="19"/>
      <c r="H18" s="19"/>
    </row>
    <row r="19" spans="1:8" ht="15.75">
      <c r="A19" s="19"/>
      <c r="B19" s="19"/>
      <c r="C19" s="19"/>
      <c r="D19" s="19"/>
      <c r="E19" s="19"/>
      <c r="F19" s="19"/>
      <c r="G19" s="19"/>
      <c r="H19" s="19"/>
    </row>
    <row r="20" spans="1:8" ht="15.75">
      <c r="A20" s="19"/>
      <c r="B20" s="19"/>
      <c r="C20" s="19"/>
      <c r="D20" s="19"/>
      <c r="E20" s="19"/>
      <c r="F20" s="19"/>
      <c r="G20" s="19"/>
      <c r="H20" s="19"/>
    </row>
    <row r="21" spans="1:8" ht="15.75">
      <c r="A21" s="38"/>
      <c r="B21" s="38"/>
      <c r="C21" s="19"/>
      <c r="D21" s="19"/>
      <c r="E21" s="19"/>
      <c r="F21" s="19"/>
      <c r="G21" s="19"/>
      <c r="H21" s="19"/>
    </row>
    <row r="22" spans="1:8" ht="15.75">
      <c r="A22" s="19"/>
      <c r="B22" s="19"/>
      <c r="C22" s="19"/>
      <c r="D22" s="19"/>
      <c r="E22" s="19"/>
      <c r="F22" s="19"/>
      <c r="G22" s="19"/>
      <c r="H22" s="19"/>
    </row>
    <row r="23" spans="1:8" ht="15.75">
      <c r="A23" s="38" t="s">
        <v>9</v>
      </c>
      <c r="B23" s="38"/>
      <c r="C23" s="38"/>
      <c r="D23" s="38"/>
      <c r="E23" s="19"/>
      <c r="F23" s="19"/>
      <c r="G23" s="19"/>
      <c r="H23" s="19"/>
    </row>
    <row r="24" spans="1:8" ht="15.75">
      <c r="A24" s="19"/>
      <c r="B24" s="19"/>
      <c r="C24" s="19"/>
      <c r="D24" s="19"/>
      <c r="E24" s="19"/>
      <c r="F24" s="19"/>
      <c r="G24" s="19"/>
      <c r="H24" s="19"/>
    </row>
    <row r="25" spans="1:8" ht="15.75">
      <c r="A25" s="38" t="s">
        <v>77</v>
      </c>
      <c r="B25" s="38"/>
      <c r="C25" s="19"/>
      <c r="D25" s="19"/>
      <c r="E25" s="19"/>
      <c r="F25" s="19"/>
      <c r="G25" s="19"/>
      <c r="H25" s="19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1">
      <selection activeCell="E15" sqref="E15:F15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89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124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141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15.75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7.75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52">
        <v>-68300</v>
      </c>
      <c r="D10" s="50"/>
      <c r="E10" s="45">
        <v>0</v>
      </c>
      <c r="F10" s="46"/>
      <c r="G10" s="43">
        <v>306499.07</v>
      </c>
      <c r="H10" s="44"/>
    </row>
    <row r="11" spans="1:8" ht="15.75">
      <c r="A11" s="47" t="s">
        <v>3</v>
      </c>
      <c r="B11" s="47"/>
      <c r="C11" s="52">
        <v>0</v>
      </c>
      <c r="D11" s="50"/>
      <c r="E11" s="52">
        <f>553497.24+58448.83+70370.46</f>
        <v>682316.5299999999</v>
      </c>
      <c r="F11" s="50"/>
      <c r="G11" s="52">
        <v>659872.42</v>
      </c>
      <c r="H11" s="52"/>
    </row>
    <row r="12" spans="1:8" ht="15.75">
      <c r="A12" s="47" t="s">
        <v>4</v>
      </c>
      <c r="B12" s="47"/>
      <c r="C12" s="52">
        <v>0</v>
      </c>
      <c r="D12" s="50"/>
      <c r="E12" s="52">
        <f>955600.13-285683.59</f>
        <v>669916.54</v>
      </c>
      <c r="F12" s="50"/>
      <c r="G12" s="52">
        <v>542444.85</v>
      </c>
      <c r="H12" s="52"/>
    </row>
    <row r="13" spans="1:8" ht="80.25" customHeight="1">
      <c r="A13" s="41" t="s">
        <v>140</v>
      </c>
      <c r="B13" s="42"/>
      <c r="C13" s="52"/>
      <c r="D13" s="50"/>
      <c r="E13" s="52">
        <f>513173.25-205805.89</f>
        <v>307367.36</v>
      </c>
      <c r="F13" s="50"/>
      <c r="G13" s="52">
        <v>249769.03</v>
      </c>
      <c r="H13" s="52"/>
    </row>
    <row r="14" spans="1:8" ht="44.25" customHeight="1">
      <c r="A14" s="47" t="s">
        <v>5</v>
      </c>
      <c r="B14" s="47"/>
      <c r="C14" s="52">
        <v>4824</v>
      </c>
      <c r="D14" s="50"/>
      <c r="E14" s="52">
        <f>E11</f>
        <v>682316.5299999999</v>
      </c>
      <c r="F14" s="50"/>
      <c r="G14" s="52">
        <v>0</v>
      </c>
      <c r="H14" s="52"/>
    </row>
    <row r="15" spans="1:8" ht="139.5" customHeight="1">
      <c r="A15" s="47" t="s">
        <v>10</v>
      </c>
      <c r="B15" s="47"/>
      <c r="C15" s="52">
        <f>C10+C11-C14</f>
        <v>-73124</v>
      </c>
      <c r="D15" s="50"/>
      <c r="E15" s="50">
        <v>0</v>
      </c>
      <c r="F15" s="50"/>
      <c r="G15" s="52">
        <v>848943.92</v>
      </c>
      <c r="H15" s="52"/>
    </row>
    <row r="16" spans="1:8" ht="15.75">
      <c r="A16" s="39"/>
      <c r="B16" s="39"/>
      <c r="C16" s="19"/>
      <c r="D16" s="19"/>
      <c r="E16" s="19"/>
      <c r="F16" s="19"/>
      <c r="G16" s="19"/>
      <c r="H16" s="19"/>
    </row>
    <row r="17" spans="1:8" ht="15.75">
      <c r="A17" s="56"/>
      <c r="B17" s="56"/>
      <c r="C17" s="5"/>
      <c r="D17" s="5"/>
      <c r="E17" s="5"/>
      <c r="F17" s="5"/>
      <c r="G17" s="5"/>
      <c r="H17" s="5"/>
    </row>
    <row r="18" spans="1:8" ht="15.75">
      <c r="A18" s="57" t="s">
        <v>8</v>
      </c>
      <c r="B18" s="57"/>
      <c r="C18" s="5"/>
      <c r="D18" s="5"/>
      <c r="E18" s="5"/>
      <c r="F18" s="5"/>
      <c r="G18" s="5"/>
      <c r="H18" s="5"/>
    </row>
    <row r="19" spans="1:8" ht="15.75">
      <c r="A19" s="21"/>
      <c r="B19" s="21"/>
      <c r="C19" s="5"/>
      <c r="D19" s="5"/>
      <c r="E19" s="5"/>
      <c r="F19" s="5"/>
      <c r="G19" s="5"/>
      <c r="H19" s="5"/>
    </row>
    <row r="20" spans="1:8" ht="15.75">
      <c r="A20" s="21"/>
      <c r="B20" s="21"/>
      <c r="C20" s="5"/>
      <c r="D20" s="5"/>
      <c r="E20" s="5"/>
      <c r="F20" s="5"/>
      <c r="G20" s="5"/>
      <c r="H20" s="5"/>
    </row>
    <row r="21" spans="1:8" ht="15.75">
      <c r="A21" s="57"/>
      <c r="B21" s="57"/>
      <c r="C21" s="5"/>
      <c r="D21" s="5"/>
      <c r="E21" s="5"/>
      <c r="F21" s="5"/>
      <c r="G21" s="5"/>
      <c r="H21" s="5"/>
    </row>
    <row r="22" spans="1:8" ht="15.75">
      <c r="A22" s="21"/>
      <c r="B22" s="21"/>
      <c r="C22" s="5"/>
      <c r="D22" s="5"/>
      <c r="E22" s="5"/>
      <c r="F22" s="5"/>
      <c r="G22" s="5"/>
      <c r="H22" s="5"/>
    </row>
    <row r="23" spans="1:8" ht="15.75">
      <c r="A23" s="57" t="s">
        <v>9</v>
      </c>
      <c r="B23" s="57"/>
      <c r="C23" s="57"/>
      <c r="D23" s="57"/>
      <c r="E23" s="5"/>
      <c r="F23" s="5"/>
      <c r="G23" s="5"/>
      <c r="H23" s="5"/>
    </row>
    <row r="24" spans="1:8" ht="15.75">
      <c r="A24" s="21"/>
      <c r="B24" s="21"/>
      <c r="C24" s="5"/>
      <c r="D24" s="5"/>
      <c r="E24" s="5"/>
      <c r="F24" s="5"/>
      <c r="G24" s="5"/>
      <c r="H24" s="5"/>
    </row>
    <row r="25" spans="1:8" ht="15.75">
      <c r="A25" s="57" t="s">
        <v>77</v>
      </c>
      <c r="B25" s="57"/>
      <c r="C25" s="5"/>
      <c r="D25" s="5"/>
      <c r="E25" s="5"/>
      <c r="F25" s="5"/>
      <c r="G25" s="5"/>
      <c r="H25" s="5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"/>
  <sheetViews>
    <sheetView view="pageBreakPreview" zoomScale="90" zoomScaleNormal="85" zoomScaleSheetLayoutView="90" zoomScalePageLayoutView="0" workbookViewId="0" topLeftCell="A10">
      <selection activeCell="E15" sqref="E15:F15"/>
    </sheetView>
  </sheetViews>
  <sheetFormatPr defaultColWidth="9.140625" defaultRowHeight="12.75"/>
  <cols>
    <col min="1" max="2" width="12.7109375" style="0" customWidth="1"/>
    <col min="4" max="4" width="9.140625" style="0" customWidth="1"/>
  </cols>
  <sheetData>
    <row r="1" spans="1:8" ht="15.75">
      <c r="A1" s="37" t="s">
        <v>23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95</v>
      </c>
      <c r="B2" s="38"/>
      <c r="C2" s="38"/>
      <c r="D2" s="38"/>
      <c r="E2" s="38"/>
      <c r="F2" s="38"/>
      <c r="G2" s="38"/>
      <c r="H2" s="38"/>
    </row>
    <row r="3" spans="1:9" ht="15.75">
      <c r="A3" s="37" t="s">
        <v>138</v>
      </c>
      <c r="B3" s="37"/>
      <c r="C3" s="37"/>
      <c r="D3" s="37"/>
      <c r="E3" s="37"/>
      <c r="F3" s="37"/>
      <c r="G3" s="37"/>
      <c r="H3" s="37"/>
      <c r="I3" s="3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.75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52">
        <v>256953.65</v>
      </c>
      <c r="D10" s="50"/>
      <c r="E10" s="45">
        <v>0</v>
      </c>
      <c r="F10" s="46"/>
      <c r="G10" s="45">
        <v>0</v>
      </c>
      <c r="H10" s="46"/>
    </row>
    <row r="11" spans="1:8" ht="25.5" customHeight="1">
      <c r="A11" s="47" t="s">
        <v>3</v>
      </c>
      <c r="B11" s="47"/>
      <c r="C11" s="52">
        <v>178555.6</v>
      </c>
      <c r="D11" s="50"/>
      <c r="E11" s="52">
        <f>330836.51+1890.48+76335.36</f>
        <v>409062.35</v>
      </c>
      <c r="F11" s="50"/>
      <c r="G11" s="50">
        <v>0</v>
      </c>
      <c r="H11" s="50"/>
    </row>
    <row r="12" spans="1:8" ht="25.5" customHeight="1">
      <c r="A12" s="47" t="s">
        <v>4</v>
      </c>
      <c r="B12" s="47"/>
      <c r="C12" s="52">
        <f>768604.29-178691.04-E11</f>
        <v>180850.90000000002</v>
      </c>
      <c r="D12" s="50"/>
      <c r="E12" s="52">
        <f>E11</f>
        <v>409062.35</v>
      </c>
      <c r="F12" s="50"/>
      <c r="G12" s="50">
        <v>0</v>
      </c>
      <c r="H12" s="50"/>
    </row>
    <row r="13" spans="1:8" ht="56.25" customHeight="1">
      <c r="A13" s="41" t="s">
        <v>140</v>
      </c>
      <c r="B13" s="42"/>
      <c r="C13" s="52">
        <v>161956.13</v>
      </c>
      <c r="D13" s="50"/>
      <c r="E13" s="50" t="s">
        <v>50</v>
      </c>
      <c r="F13" s="50"/>
      <c r="G13" s="50">
        <v>0</v>
      </c>
      <c r="H13" s="50"/>
    </row>
    <row r="14" spans="1:8" ht="50.25" customHeight="1">
      <c r="A14" s="47" t="s">
        <v>5</v>
      </c>
      <c r="B14" s="47"/>
      <c r="C14" s="52">
        <v>314104.99</v>
      </c>
      <c r="D14" s="50"/>
      <c r="E14" s="52">
        <f>E11</f>
        <v>409062.35</v>
      </c>
      <c r="F14" s="50"/>
      <c r="G14" s="50">
        <v>0</v>
      </c>
      <c r="H14" s="50"/>
    </row>
    <row r="15" spans="1:8" ht="122.25" customHeight="1">
      <c r="A15" s="47" t="s">
        <v>10</v>
      </c>
      <c r="B15" s="47"/>
      <c r="C15" s="52">
        <f>C10+C11-C14</f>
        <v>121404.26000000001</v>
      </c>
      <c r="D15" s="50"/>
      <c r="E15" s="50">
        <v>0</v>
      </c>
      <c r="F15" s="50"/>
      <c r="G15" s="50">
        <v>0</v>
      </c>
      <c r="H15" s="50"/>
    </row>
    <row r="16" spans="1:8" ht="15.75">
      <c r="A16" s="39"/>
      <c r="B16" s="39"/>
      <c r="C16" s="14"/>
      <c r="D16" s="14"/>
      <c r="E16" s="14"/>
      <c r="F16" s="14"/>
      <c r="G16" s="14"/>
      <c r="H16" s="14"/>
    </row>
    <row r="17" spans="1:8" ht="15.75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6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view="pageBreakPreview" zoomScale="90" zoomScaleNormal="85" zoomScaleSheetLayoutView="90" zoomScalePageLayoutView="0" workbookViewId="0" topLeftCell="A10">
      <selection activeCell="C15" sqref="C15:D15"/>
    </sheetView>
  </sheetViews>
  <sheetFormatPr defaultColWidth="9.140625" defaultRowHeight="12.75"/>
  <cols>
    <col min="1" max="1" width="12.7109375" style="10" customWidth="1"/>
    <col min="2" max="2" width="12.7109375" style="0" customWidth="1"/>
  </cols>
  <sheetData>
    <row r="1" spans="1:8" ht="15.75">
      <c r="A1" s="37" t="s">
        <v>32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92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6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6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6"/>
      <c r="B8" s="14"/>
      <c r="C8" s="14"/>
      <c r="D8" s="14"/>
      <c r="E8" s="14"/>
      <c r="F8" s="14"/>
      <c r="G8" s="14"/>
      <c r="H8" s="14"/>
    </row>
    <row r="9" spans="1:8" ht="54" customHeight="1">
      <c r="A9" s="54"/>
      <c r="B9" s="54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52">
        <v>-169321.33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f>62143.59+64490.04</f>
        <v>126633.63</v>
      </c>
      <c r="D11" s="50"/>
      <c r="E11" s="52">
        <f>147771.42+153005.22</f>
        <v>300776.64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412593.83-E11</f>
        <v>111817.19</v>
      </c>
      <c r="D12" s="50"/>
      <c r="E12" s="52">
        <f>E11</f>
        <v>300776.64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144866.61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30132.87</v>
      </c>
      <c r="D14" s="50"/>
      <c r="E14" s="52">
        <f>E12</f>
        <v>300776.64</v>
      </c>
      <c r="F14" s="50"/>
      <c r="G14" s="50">
        <v>0</v>
      </c>
      <c r="H14" s="50"/>
    </row>
    <row r="15" spans="1:8" ht="92.25" customHeight="1">
      <c r="A15" s="47" t="s">
        <v>81</v>
      </c>
      <c r="B15" s="47"/>
      <c r="C15" s="52">
        <f>C10+C11-C14</f>
        <v>-72820.56999999998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55"/>
      <c r="B16" s="55"/>
      <c r="C16" s="14"/>
      <c r="D16" s="14"/>
      <c r="E16" s="14"/>
      <c r="F16" s="14"/>
      <c r="G16" s="14"/>
      <c r="H16" s="14"/>
    </row>
    <row r="17" spans="1:8" ht="12.75" customHeight="1">
      <c r="A17" s="55"/>
      <c r="B17" s="55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4"/>
      <c r="D18" s="14"/>
      <c r="E18" s="14"/>
      <c r="F18" s="14"/>
      <c r="G18" s="14"/>
      <c r="H18" s="14"/>
    </row>
    <row r="19" spans="1:8" ht="15.75">
      <c r="A19" s="16"/>
      <c r="B19" s="16"/>
      <c r="C19" s="14"/>
      <c r="D19" s="14"/>
      <c r="E19" s="14"/>
      <c r="F19" s="14"/>
      <c r="G19" s="14"/>
      <c r="H19" s="14"/>
    </row>
    <row r="20" spans="1:8" ht="15.75">
      <c r="A20" s="16"/>
      <c r="B20" s="16"/>
      <c r="C20" s="14"/>
      <c r="D20" s="14"/>
      <c r="E20" s="14"/>
      <c r="F20" s="14"/>
      <c r="G20" s="14"/>
      <c r="H20" s="14"/>
    </row>
    <row r="21" spans="1:8" ht="15.75">
      <c r="A21" s="40"/>
      <c r="B21" s="40"/>
      <c r="C21" s="14"/>
      <c r="D21" s="14"/>
      <c r="E21" s="14"/>
      <c r="F21" s="14"/>
      <c r="G21" s="14"/>
      <c r="H21" s="14"/>
    </row>
    <row r="22" spans="1:8" ht="15.75">
      <c r="A22" s="16"/>
      <c r="B22" s="14"/>
      <c r="C22" s="14"/>
      <c r="D22" s="14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  <row r="26" spans="1:8" ht="15.75">
      <c r="A26" s="16"/>
      <c r="B26" s="14"/>
      <c r="C26" s="14"/>
      <c r="D26" s="14"/>
      <c r="E26" s="14"/>
      <c r="F26" s="14"/>
      <c r="G26" s="14"/>
      <c r="H26" s="14"/>
    </row>
    <row r="27" spans="1:8" ht="15.75">
      <c r="A27" s="37"/>
      <c r="B27" s="37"/>
      <c r="C27" s="37"/>
      <c r="D27" s="37"/>
      <c r="E27" s="37"/>
      <c r="F27" s="37"/>
      <c r="G27" s="37"/>
      <c r="H27" s="37"/>
    </row>
    <row r="28" spans="1:8" ht="15.75">
      <c r="A28" s="38"/>
      <c r="B28" s="38"/>
      <c r="C28" s="38"/>
      <c r="D28" s="38"/>
      <c r="E28" s="38"/>
      <c r="F28" s="38"/>
      <c r="G28" s="38"/>
      <c r="H28" s="38"/>
    </row>
    <row r="29" spans="1:8" ht="12.75">
      <c r="A29" s="18"/>
      <c r="B29" s="17"/>
      <c r="C29" s="17"/>
      <c r="D29" s="17"/>
      <c r="E29" s="17"/>
      <c r="F29" s="17"/>
      <c r="G29" s="17"/>
      <c r="H29" s="17"/>
    </row>
    <row r="30" spans="1:8" ht="12.75">
      <c r="A30" s="18"/>
      <c r="B30" s="17"/>
      <c r="C30" s="17"/>
      <c r="D30" s="17"/>
      <c r="E30" s="17"/>
      <c r="F30" s="17"/>
      <c r="G30" s="17"/>
      <c r="H30" s="17"/>
    </row>
  </sheetData>
  <sheetProtection/>
  <mergeCells count="41">
    <mergeCell ref="A27:H27"/>
    <mergeCell ref="A28:H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12">
      <selection activeCell="C13" sqref="C13:D13"/>
    </sheetView>
  </sheetViews>
  <sheetFormatPr defaultColWidth="9.140625" defaultRowHeight="12.75"/>
  <cols>
    <col min="1" max="2" width="12.7109375" style="0" customWidth="1"/>
    <col min="4" max="4" width="9.140625" style="0" customWidth="1"/>
  </cols>
  <sheetData>
    <row r="1" spans="1:8" ht="15.75">
      <c r="A1" s="37" t="s">
        <v>24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137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.75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47.25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.75" customHeight="1">
      <c r="A10" s="41" t="s">
        <v>22</v>
      </c>
      <c r="B10" s="42"/>
      <c r="C10" s="52">
        <v>52393.07</v>
      </c>
      <c r="D10" s="50"/>
      <c r="E10" s="45"/>
      <c r="F10" s="46"/>
      <c r="G10" s="45">
        <v>0</v>
      </c>
      <c r="H10" s="46"/>
    </row>
    <row r="11" spans="1:8" ht="16.5" customHeight="1">
      <c r="A11" s="47" t="s">
        <v>3</v>
      </c>
      <c r="B11" s="47"/>
      <c r="C11" s="52">
        <v>266181.82</v>
      </c>
      <c r="D11" s="50"/>
      <c r="E11" s="52">
        <f>374790.73+84364.16</f>
        <v>459154.89</v>
      </c>
      <c r="F11" s="50"/>
      <c r="G11" s="50">
        <v>0</v>
      </c>
      <c r="H11" s="50"/>
    </row>
    <row r="12" spans="1:8" ht="15.75" customHeight="1">
      <c r="A12" s="47" t="s">
        <v>4</v>
      </c>
      <c r="B12" s="47"/>
      <c r="C12" s="52">
        <f>890683.91-E12-169574.1</f>
        <v>261954.92</v>
      </c>
      <c r="D12" s="50"/>
      <c r="E12" s="52">
        <f>E11</f>
        <v>459154.89</v>
      </c>
      <c r="F12" s="50"/>
      <c r="G12" s="50">
        <v>0</v>
      </c>
      <c r="H12" s="50"/>
    </row>
    <row r="13" spans="1:8" ht="48" customHeight="1">
      <c r="A13" s="41" t="s">
        <v>140</v>
      </c>
      <c r="B13" s="42"/>
      <c r="C13" s="52">
        <v>525719.95</v>
      </c>
      <c r="D13" s="50"/>
      <c r="E13" s="50">
        <v>0</v>
      </c>
      <c r="F13" s="50"/>
      <c r="G13" s="50">
        <v>0</v>
      </c>
      <c r="H13" s="50"/>
    </row>
    <row r="14" spans="1:8" ht="39" customHeight="1">
      <c r="A14" s="41" t="s">
        <v>5</v>
      </c>
      <c r="B14" s="42"/>
      <c r="C14" s="52">
        <v>91780.87</v>
      </c>
      <c r="D14" s="50"/>
      <c r="E14" s="52">
        <f>E11</f>
        <v>459154.89</v>
      </c>
      <c r="F14" s="50"/>
      <c r="G14" s="50">
        <v>0</v>
      </c>
      <c r="H14" s="50"/>
    </row>
    <row r="15" spans="1:8" ht="94.5" customHeight="1">
      <c r="A15" s="41" t="s">
        <v>10</v>
      </c>
      <c r="B15" s="42"/>
      <c r="C15" s="52">
        <f>C10+C11-C14</f>
        <v>226794.02000000002</v>
      </c>
      <c r="D15" s="50"/>
      <c r="E15" s="50">
        <v>0</v>
      </c>
      <c r="F15" s="50"/>
      <c r="G15" s="50">
        <v>0</v>
      </c>
      <c r="H15" s="50"/>
    </row>
    <row r="16" spans="1:8" ht="15.75">
      <c r="A16" s="39"/>
      <c r="B16" s="39"/>
      <c r="C16" s="14"/>
      <c r="D16" s="14"/>
      <c r="E16" s="14"/>
      <c r="F16" s="14"/>
      <c r="G16" s="14"/>
      <c r="H16" s="14"/>
    </row>
    <row r="17" spans="1:8" ht="15.75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23" t="s">
        <v>134</v>
      </c>
      <c r="B18" s="23"/>
      <c r="C18" s="35"/>
      <c r="D18" s="35"/>
      <c r="E18" s="34"/>
      <c r="F18" s="34"/>
      <c r="G18" s="34"/>
      <c r="H18" s="3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 t="s">
        <v>135</v>
      </c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8">
    <mergeCell ref="A25:B25"/>
    <mergeCell ref="A16:B16"/>
    <mergeCell ref="A17:B17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view="pageBreakPreview" zoomScale="90" zoomScaleSheetLayoutView="90" zoomScalePageLayoutView="0" workbookViewId="0" topLeftCell="A9">
      <selection activeCell="B30" sqref="B30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61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96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.75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0.25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1.5" customHeight="1">
      <c r="A10" s="41" t="s">
        <v>22</v>
      </c>
      <c r="B10" s="42"/>
      <c r="C10" s="52">
        <v>141654.92</v>
      </c>
      <c r="D10" s="50"/>
      <c r="E10" s="45" t="s">
        <v>50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189784.56</v>
      </c>
      <c r="D11" s="50"/>
      <c r="E11" s="52">
        <f>493910.16+91945.32</f>
        <v>585855.48</v>
      </c>
      <c r="F11" s="50"/>
      <c r="G11" s="50">
        <v>0</v>
      </c>
      <c r="H11" s="50"/>
    </row>
    <row r="12" spans="1:8" ht="13.5" customHeight="1">
      <c r="A12" s="47" t="s">
        <v>4</v>
      </c>
      <c r="B12" s="47"/>
      <c r="C12" s="52">
        <f>946157.1-214195.55-E11</f>
        <v>146106.07000000007</v>
      </c>
      <c r="D12" s="50"/>
      <c r="E12" s="52">
        <f>E11</f>
        <v>585855.48</v>
      </c>
      <c r="F12" s="50"/>
      <c r="G12" s="50">
        <v>0</v>
      </c>
      <c r="H12" s="50"/>
    </row>
    <row r="13" spans="1:8" ht="57" customHeight="1">
      <c r="A13" s="41" t="s">
        <v>140</v>
      </c>
      <c r="B13" s="42"/>
      <c r="C13" s="52">
        <v>464433.61</v>
      </c>
      <c r="D13" s="50"/>
      <c r="E13" s="50">
        <v>0</v>
      </c>
      <c r="F13" s="50"/>
      <c r="G13" s="50">
        <v>0</v>
      </c>
      <c r="H13" s="50"/>
    </row>
    <row r="14" spans="1:8" ht="44.25" customHeight="1">
      <c r="A14" s="47" t="s">
        <v>5</v>
      </c>
      <c r="B14" s="47"/>
      <c r="C14" s="52">
        <v>29654</v>
      </c>
      <c r="D14" s="50"/>
      <c r="E14" s="52">
        <f>E11</f>
        <v>585855.48</v>
      </c>
      <c r="F14" s="50"/>
      <c r="G14" s="50">
        <v>0</v>
      </c>
      <c r="H14" s="50"/>
    </row>
    <row r="15" spans="1:8" ht="94.5" customHeight="1">
      <c r="A15" s="47" t="s">
        <v>10</v>
      </c>
      <c r="B15" s="47"/>
      <c r="C15" s="52">
        <f>C10+C11-C14</f>
        <v>301785.48</v>
      </c>
      <c r="D15" s="50"/>
      <c r="E15" s="50">
        <v>0</v>
      </c>
      <c r="F15" s="50"/>
      <c r="G15" s="50">
        <v>0</v>
      </c>
      <c r="H15" s="50"/>
    </row>
    <row r="16" spans="1:8" ht="15.75">
      <c r="A16" s="39"/>
      <c r="B16" s="39"/>
      <c r="C16" s="14"/>
      <c r="D16" s="14"/>
      <c r="E16" s="14"/>
      <c r="F16" s="14"/>
      <c r="G16" s="14"/>
      <c r="H16" s="14"/>
    </row>
    <row r="17" spans="1:8" ht="15.75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6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  <row r="30" ht="12.75">
      <c r="B30" t="s">
        <v>148</v>
      </c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"/>
  <sheetViews>
    <sheetView view="pageBreakPreview" zoomScale="90" zoomScaleNormal="85" zoomScaleSheetLayoutView="90" zoomScalePageLayoutView="0" workbookViewId="0" topLeftCell="A10">
      <selection activeCell="C14" sqref="C14:D14"/>
    </sheetView>
  </sheetViews>
  <sheetFormatPr defaultColWidth="9.140625" defaultRowHeight="12.75"/>
  <cols>
    <col min="2" max="2" width="14.8515625" style="0" customWidth="1"/>
  </cols>
  <sheetData>
    <row r="1" spans="1:8" ht="15.75">
      <c r="A1" s="37" t="s">
        <v>25</v>
      </c>
      <c r="B1" s="37"/>
      <c r="C1" s="37"/>
      <c r="D1" s="37"/>
      <c r="E1" s="37"/>
      <c r="F1" s="37"/>
      <c r="G1" s="37"/>
      <c r="H1" s="37"/>
    </row>
    <row r="2" spans="1:8" ht="15.75">
      <c r="A2" s="68" t="s">
        <v>97</v>
      </c>
      <c r="B2" s="68"/>
      <c r="C2" s="68"/>
      <c r="D2" s="68"/>
      <c r="E2" s="68"/>
      <c r="F2" s="68"/>
      <c r="G2" s="68"/>
      <c r="H2" s="68"/>
    </row>
    <row r="3" spans="1:9" ht="15" customHeight="1">
      <c r="A3" s="37" t="s">
        <v>139</v>
      </c>
      <c r="B3" s="37"/>
      <c r="C3" s="37"/>
      <c r="D3" s="37"/>
      <c r="E3" s="37"/>
      <c r="F3" s="37"/>
      <c r="G3" s="37"/>
      <c r="H3" s="37"/>
      <c r="I3" s="3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1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20.25" customHeight="1">
      <c r="A6" s="39"/>
      <c r="B6" s="39"/>
      <c r="C6" s="39"/>
      <c r="D6" s="39"/>
      <c r="E6" s="39"/>
      <c r="F6" s="39"/>
      <c r="G6" s="39"/>
      <c r="H6" s="3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1.75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5.25" customHeight="1">
      <c r="A10" s="41" t="s">
        <v>22</v>
      </c>
      <c r="B10" s="42"/>
      <c r="C10" s="52">
        <v>391095.33</v>
      </c>
      <c r="D10" s="50"/>
      <c r="E10" s="45">
        <v>0</v>
      </c>
      <c r="F10" s="46"/>
      <c r="G10" s="43">
        <v>1264595.99</v>
      </c>
      <c r="H10" s="44"/>
    </row>
    <row r="11" spans="1:8" ht="16.5" customHeight="1">
      <c r="A11" s="47" t="s">
        <v>3</v>
      </c>
      <c r="B11" s="47"/>
      <c r="C11" s="52">
        <f>98391.52+183939.44</f>
        <v>282330.96</v>
      </c>
      <c r="D11" s="50"/>
      <c r="E11" s="52">
        <f>343367.8+24372.14+61594.96</f>
        <v>429334.9</v>
      </c>
      <c r="F11" s="50"/>
      <c r="G11" s="52">
        <v>380304.52</v>
      </c>
      <c r="H11" s="52"/>
    </row>
    <row r="12" spans="1:8" ht="15.75">
      <c r="A12" s="47" t="s">
        <v>4</v>
      </c>
      <c r="B12" s="47"/>
      <c r="C12" s="52">
        <f>884315.66-E11-179504.58</f>
        <v>275476.18000000005</v>
      </c>
      <c r="D12" s="50"/>
      <c r="E12" s="52">
        <f>E11</f>
        <v>429334.9</v>
      </c>
      <c r="F12" s="50"/>
      <c r="G12" s="52">
        <v>428669.94</v>
      </c>
      <c r="H12" s="52"/>
    </row>
    <row r="13" spans="1:8" ht="48.75" customHeight="1">
      <c r="A13" s="41" t="s">
        <v>140</v>
      </c>
      <c r="B13" s="42"/>
      <c r="C13" s="52">
        <f>755508.12-423730.54</f>
        <v>331777.58</v>
      </c>
      <c r="D13" s="50"/>
      <c r="E13" s="50">
        <v>0</v>
      </c>
      <c r="F13" s="50"/>
      <c r="G13" s="52">
        <v>423730.54</v>
      </c>
      <c r="H13" s="52"/>
    </row>
    <row r="14" spans="1:8" ht="48.75" customHeight="1">
      <c r="A14" s="41" t="s">
        <v>5</v>
      </c>
      <c r="B14" s="42"/>
      <c r="C14" s="52">
        <v>427425</v>
      </c>
      <c r="D14" s="50"/>
      <c r="E14" s="52">
        <f>E12</f>
        <v>429334.9</v>
      </c>
      <c r="F14" s="50"/>
      <c r="G14" s="52">
        <v>0</v>
      </c>
      <c r="H14" s="52"/>
    </row>
    <row r="15" spans="1:8" ht="123" customHeight="1">
      <c r="A15" s="41" t="s">
        <v>10</v>
      </c>
      <c r="B15" s="42"/>
      <c r="C15" s="52">
        <f>C10+C11-C14</f>
        <v>246001.29000000004</v>
      </c>
      <c r="D15" s="50"/>
      <c r="E15" s="50">
        <v>0</v>
      </c>
      <c r="F15" s="50"/>
      <c r="G15" s="52">
        <f>G10+G12-G14</f>
        <v>1693265.93</v>
      </c>
      <c r="H15" s="52"/>
    </row>
    <row r="16" spans="1:8" ht="15.75">
      <c r="A16" s="39"/>
      <c r="B16" s="39"/>
      <c r="C16" s="14"/>
      <c r="D16" s="14"/>
      <c r="E16" s="14"/>
      <c r="F16" s="14"/>
      <c r="G16" s="14"/>
      <c r="H16" s="14"/>
    </row>
    <row r="17" spans="1:8" ht="15.75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6"/>
      <c r="D18" s="16"/>
      <c r="E18" s="14"/>
      <c r="F18" s="14"/>
      <c r="G18" s="14"/>
      <c r="H18" s="14"/>
    </row>
    <row r="19" spans="1:8" ht="15.75">
      <c r="A19" s="16"/>
      <c r="B19" s="16"/>
      <c r="C19" s="16"/>
      <c r="D19" s="16"/>
      <c r="E19" s="14"/>
      <c r="F19" s="14"/>
      <c r="G19" s="14"/>
      <c r="H19" s="14"/>
    </row>
    <row r="20" spans="1:8" ht="15.75">
      <c r="A20" s="16"/>
      <c r="B20" s="16"/>
      <c r="C20" s="16"/>
      <c r="D20" s="16"/>
      <c r="E20" s="14"/>
      <c r="F20" s="14"/>
      <c r="G20" s="14"/>
      <c r="H20" s="14"/>
    </row>
    <row r="21" spans="1:8" ht="15.75">
      <c r="A21" s="40"/>
      <c r="B21" s="40"/>
      <c r="C21" s="16"/>
      <c r="D21" s="16"/>
      <c r="E21" s="14"/>
      <c r="F21" s="14"/>
      <c r="G21" s="14"/>
      <c r="H21" s="14"/>
    </row>
    <row r="22" spans="1:8" ht="15.75">
      <c r="A22" s="16"/>
      <c r="B22" s="16"/>
      <c r="C22" s="16"/>
      <c r="D22" s="16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4" ht="14.25">
      <c r="A25" s="69" t="s">
        <v>27</v>
      </c>
      <c r="B25" s="69"/>
      <c r="C25" s="10"/>
      <c r="D25" s="10"/>
    </row>
  </sheetData>
  <sheetProtection/>
  <mergeCells count="39">
    <mergeCell ref="A25:B25"/>
    <mergeCell ref="A3:H3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7:H7"/>
    <mergeCell ref="A9:B9"/>
    <mergeCell ref="C9:D9"/>
    <mergeCell ref="E9:F9"/>
    <mergeCell ref="G9:H9"/>
    <mergeCell ref="A5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7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26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83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141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5.25" customHeight="1">
      <c r="A5" s="39" t="s">
        <v>82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46.5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52">
        <v>275752.11</v>
      </c>
      <c r="D10" s="50"/>
      <c r="E10" s="45">
        <v>0</v>
      </c>
      <c r="F10" s="46"/>
      <c r="G10" s="43">
        <v>0</v>
      </c>
      <c r="H10" s="44"/>
    </row>
    <row r="11" spans="1:8" ht="15.75">
      <c r="A11" s="47" t="s">
        <v>3</v>
      </c>
      <c r="B11" s="47"/>
      <c r="C11" s="52">
        <v>141240.11</v>
      </c>
      <c r="D11" s="50"/>
      <c r="E11" s="52">
        <f>351115.05+105092.62</f>
        <v>456207.67</v>
      </c>
      <c r="F11" s="50"/>
      <c r="G11" s="52">
        <v>92518.96</v>
      </c>
      <c r="H11" s="52"/>
    </row>
    <row r="12" spans="1:8" ht="15.75">
      <c r="A12" s="47" t="s">
        <v>4</v>
      </c>
      <c r="B12" s="47"/>
      <c r="C12" s="52">
        <f>841373.4-178161.44-E11</f>
        <v>207004.28999999998</v>
      </c>
      <c r="D12" s="50"/>
      <c r="E12" s="52">
        <f>E11</f>
        <v>456207.67</v>
      </c>
      <c r="F12" s="50"/>
      <c r="G12" s="52">
        <v>65535.13</v>
      </c>
      <c r="H12" s="52"/>
    </row>
    <row r="13" spans="1:8" ht="49.5" customHeight="1">
      <c r="A13" s="41" t="s">
        <v>140</v>
      </c>
      <c r="B13" s="42"/>
      <c r="C13" s="52">
        <f>556384.46-401758.2</f>
        <v>154626.25999999995</v>
      </c>
      <c r="D13" s="50"/>
      <c r="E13" s="50">
        <v>0</v>
      </c>
      <c r="F13" s="50"/>
      <c r="G13" s="52">
        <v>401758.2</v>
      </c>
      <c r="H13" s="52"/>
    </row>
    <row r="14" spans="1:8" ht="30.75" customHeight="1">
      <c r="A14" s="47" t="s">
        <v>5</v>
      </c>
      <c r="B14" s="47"/>
      <c r="C14" s="52">
        <v>154974.11</v>
      </c>
      <c r="D14" s="50"/>
      <c r="E14" s="52">
        <f>E11</f>
        <v>456207.67</v>
      </c>
      <c r="F14" s="50"/>
      <c r="G14" s="52">
        <v>0</v>
      </c>
      <c r="H14" s="52"/>
    </row>
    <row r="15" spans="1:8" ht="96" customHeight="1">
      <c r="A15" s="47" t="s">
        <v>10</v>
      </c>
      <c r="B15" s="47"/>
      <c r="C15" s="52">
        <f>C10+C11-C14</f>
        <v>262018.11</v>
      </c>
      <c r="D15" s="50"/>
      <c r="E15" s="50">
        <v>0</v>
      </c>
      <c r="F15" s="50"/>
      <c r="G15" s="52">
        <v>1615832.17</v>
      </c>
      <c r="H15" s="52"/>
    </row>
    <row r="16" spans="1:8" ht="15.75">
      <c r="A16" s="39"/>
      <c r="B16" s="39"/>
      <c r="C16" s="14"/>
      <c r="D16" s="14"/>
      <c r="E16" s="14"/>
      <c r="F16" s="14"/>
      <c r="G16" s="14"/>
      <c r="H16" s="14"/>
    </row>
    <row r="17" spans="1:8" ht="15.75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4"/>
      <c r="D18" s="14"/>
      <c r="E18" s="14"/>
      <c r="F18" s="14"/>
      <c r="G18" s="14"/>
      <c r="H18" s="14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8" ht="15.75">
      <c r="A20" s="14"/>
      <c r="B20" s="14"/>
      <c r="C20" s="14"/>
      <c r="D20" s="14"/>
      <c r="E20" s="14"/>
      <c r="F20" s="14"/>
      <c r="G20" s="14"/>
      <c r="H20" s="14"/>
    </row>
    <row r="21" spans="1:8" ht="15.75">
      <c r="A21" s="38"/>
      <c r="B21" s="38"/>
      <c r="C21" s="14"/>
      <c r="D21" s="14"/>
      <c r="E21" s="14"/>
      <c r="F21" s="14"/>
      <c r="G21" s="14"/>
      <c r="H21" s="14"/>
    </row>
    <row r="22" spans="1:8" ht="15.75">
      <c r="A22" s="14"/>
      <c r="B22" s="14"/>
      <c r="C22" s="14"/>
      <c r="D22" s="14"/>
      <c r="E22" s="14"/>
      <c r="F22" s="14"/>
      <c r="G22" s="14"/>
      <c r="H22" s="14"/>
    </row>
    <row r="23" spans="1:8" ht="15.75">
      <c r="A23" s="40" t="s">
        <v>9</v>
      </c>
      <c r="B23" s="40"/>
      <c r="C23" s="40"/>
      <c r="D23" s="40"/>
      <c r="E23" s="14"/>
      <c r="F23" s="14"/>
      <c r="G23" s="14"/>
      <c r="H23" s="14"/>
    </row>
    <row r="24" spans="1:8" ht="15.75">
      <c r="A24" s="16"/>
      <c r="B24" s="16"/>
      <c r="C24" s="16"/>
      <c r="D24" s="16"/>
      <c r="E24" s="14"/>
      <c r="F24" s="14"/>
      <c r="G24" s="14"/>
      <c r="H24" s="14"/>
    </row>
    <row r="25" spans="1:8" ht="15.75">
      <c r="A25" s="40" t="s">
        <v>27</v>
      </c>
      <c r="B25" s="40"/>
      <c r="C25" s="16"/>
      <c r="D25" s="16"/>
      <c r="E25" s="14"/>
      <c r="F25" s="14"/>
      <c r="G25" s="14"/>
      <c r="H25" s="14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13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87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128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141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15.75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49.5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5.25" customHeight="1">
      <c r="A10" s="41" t="s">
        <v>22</v>
      </c>
      <c r="B10" s="42"/>
      <c r="C10" s="52">
        <v>19270.84</v>
      </c>
      <c r="D10" s="50"/>
      <c r="E10" s="45">
        <v>0</v>
      </c>
      <c r="F10" s="46"/>
      <c r="G10" s="43">
        <v>1042254.07</v>
      </c>
      <c r="H10" s="44"/>
    </row>
    <row r="11" spans="1:8" ht="15.75">
      <c r="A11" s="47" t="s">
        <v>3</v>
      </c>
      <c r="B11" s="47"/>
      <c r="C11" s="52">
        <v>123931.8</v>
      </c>
      <c r="D11" s="50"/>
      <c r="E11" s="52">
        <f>125690.94+132567.06</f>
        <v>258258</v>
      </c>
      <c r="F11" s="50"/>
      <c r="G11" s="52">
        <v>262255.68</v>
      </c>
      <c r="H11" s="52"/>
    </row>
    <row r="12" spans="1:8" ht="15.75">
      <c r="A12" s="47" t="s">
        <v>4</v>
      </c>
      <c r="B12" s="47"/>
      <c r="C12" s="52">
        <f>372185.91-E11</f>
        <v>113927.90999999997</v>
      </c>
      <c r="D12" s="50"/>
      <c r="E12" s="52">
        <f>E11</f>
        <v>258258</v>
      </c>
      <c r="F12" s="50"/>
      <c r="G12" s="52">
        <v>255930.56</v>
      </c>
      <c r="H12" s="52"/>
    </row>
    <row r="13" spans="1:8" ht="75.75" customHeight="1">
      <c r="A13" s="41" t="s">
        <v>140</v>
      </c>
      <c r="B13" s="42"/>
      <c r="C13" s="52">
        <f>143224.24-66497.92</f>
        <v>76726.31999999999</v>
      </c>
      <c r="D13" s="50"/>
      <c r="E13" s="45">
        <v>0</v>
      </c>
      <c r="F13" s="46"/>
      <c r="G13" s="52">
        <v>66497.92</v>
      </c>
      <c r="H13" s="52"/>
    </row>
    <row r="14" spans="1:8" ht="51.75" customHeight="1">
      <c r="A14" s="47" t="s">
        <v>5</v>
      </c>
      <c r="B14" s="47"/>
      <c r="C14" s="52">
        <v>66712</v>
      </c>
      <c r="D14" s="50"/>
      <c r="E14" s="52">
        <f>E11</f>
        <v>258258</v>
      </c>
      <c r="F14" s="50"/>
      <c r="G14" s="52">
        <v>1296916.52</v>
      </c>
      <c r="H14" s="52"/>
    </row>
    <row r="15" spans="1:8" ht="112.5" customHeight="1">
      <c r="A15" s="47" t="s">
        <v>10</v>
      </c>
      <c r="B15" s="47"/>
      <c r="C15" s="52">
        <f>C10+C11-C14</f>
        <v>76490.64000000001</v>
      </c>
      <c r="D15" s="50"/>
      <c r="E15" s="50">
        <v>0</v>
      </c>
      <c r="F15" s="50"/>
      <c r="G15" s="52">
        <v>4306.02</v>
      </c>
      <c r="H15" s="52"/>
    </row>
    <row r="16" spans="1:8" ht="15.75">
      <c r="A16" s="39"/>
      <c r="B16" s="39"/>
      <c r="C16" s="26"/>
      <c r="D16" s="26"/>
      <c r="E16" s="26"/>
      <c r="F16" s="26"/>
      <c r="G16" s="26"/>
      <c r="H16" s="26"/>
    </row>
    <row r="17" spans="1:8" ht="15.75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7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/>
      <c r="B21" s="40"/>
      <c r="C21" s="27"/>
      <c r="D21" s="27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9</v>
      </c>
      <c r="B23" s="40"/>
      <c r="C23" s="40"/>
      <c r="D23" s="40"/>
      <c r="E23" s="26"/>
      <c r="F23" s="26"/>
      <c r="G23" s="26"/>
      <c r="H23" s="26"/>
    </row>
    <row r="24" spans="1:8" ht="15.75">
      <c r="A24" s="27"/>
      <c r="B24" s="27"/>
      <c r="C24" s="27"/>
      <c r="D24" s="27"/>
      <c r="E24" s="26"/>
      <c r="F24" s="26"/>
      <c r="G24" s="26"/>
      <c r="H24" s="26"/>
    </row>
    <row r="25" spans="1:8" ht="15.75">
      <c r="A25" s="40" t="s">
        <v>77</v>
      </c>
      <c r="B25" s="40"/>
      <c r="C25" s="27"/>
      <c r="D25" s="27"/>
      <c r="E25" s="26"/>
      <c r="F25" s="26"/>
      <c r="G25" s="26"/>
      <c r="H25" s="26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"/>
  <sheetViews>
    <sheetView view="pageBreakPreview" zoomScale="90" zoomScaleSheetLayoutView="90" zoomScalePageLayoutView="0" workbookViewId="0" topLeftCell="A7">
      <selection activeCell="C13" sqref="C13:D13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62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129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43">
        <v>-573574.37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124850.13</v>
      </c>
      <c r="D11" s="50"/>
      <c r="E11" s="52">
        <f>210627.14+218954.1</f>
        <v>429581.24</v>
      </c>
      <c r="F11" s="50"/>
      <c r="G11" s="52">
        <v>210393.96</v>
      </c>
      <c r="H11" s="52"/>
    </row>
    <row r="12" spans="1:8" ht="15.75">
      <c r="A12" s="47" t="s">
        <v>4</v>
      </c>
      <c r="B12" s="47"/>
      <c r="C12" s="52">
        <f>532811.19-E11</f>
        <v>103229.94999999995</v>
      </c>
      <c r="D12" s="50"/>
      <c r="E12" s="52">
        <f>E11</f>
        <v>429581.24</v>
      </c>
      <c r="F12" s="50"/>
      <c r="G12" s="52">
        <v>179121.61</v>
      </c>
      <c r="H12" s="52"/>
    </row>
    <row r="13" spans="1:8" ht="47.25" customHeight="1">
      <c r="A13" s="41" t="s">
        <v>140</v>
      </c>
      <c r="B13" s="42"/>
      <c r="C13" s="52">
        <f>580958.3-294088.38</f>
        <v>286869.92000000004</v>
      </c>
      <c r="D13" s="50"/>
      <c r="E13" s="50">
        <v>0</v>
      </c>
      <c r="F13" s="50"/>
      <c r="G13" s="52">
        <v>301182.2</v>
      </c>
      <c r="H13" s="52"/>
    </row>
    <row r="14" spans="1:8" ht="33" customHeight="1">
      <c r="A14" s="47" t="s">
        <v>5</v>
      </c>
      <c r="B14" s="47"/>
      <c r="C14" s="52">
        <v>344670</v>
      </c>
      <c r="D14" s="50"/>
      <c r="E14" s="52">
        <f>E12</f>
        <v>429581.24</v>
      </c>
      <c r="F14" s="50"/>
      <c r="G14" s="52">
        <v>1977385.2</v>
      </c>
      <c r="H14" s="52"/>
    </row>
    <row r="15" spans="1:8" ht="92.25" customHeight="1">
      <c r="A15" s="47" t="s">
        <v>10</v>
      </c>
      <c r="B15" s="47"/>
      <c r="C15" s="52">
        <f>C10+C11-C14</f>
        <v>-793394.24</v>
      </c>
      <c r="D15" s="50"/>
      <c r="E15" s="50">
        <v>0</v>
      </c>
      <c r="F15" s="50"/>
      <c r="G15" s="52">
        <v>7235.7</v>
      </c>
      <c r="H15" s="52"/>
    </row>
    <row r="16" spans="1:8" ht="13.5" customHeight="1">
      <c r="A16" s="39"/>
      <c r="B16" s="39"/>
      <c r="C16" s="24"/>
      <c r="D16" s="26"/>
      <c r="E16" s="26"/>
      <c r="F16" s="26"/>
      <c r="G16" s="26"/>
      <c r="H16" s="26"/>
    </row>
    <row r="17" spans="1:8" ht="12.75" customHeight="1">
      <c r="A17" s="39"/>
      <c r="B17" s="39"/>
      <c r="C17" s="24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5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40"/>
      <c r="B20" s="40"/>
      <c r="C20" s="27"/>
      <c r="D20" s="27"/>
      <c r="E20" s="26"/>
      <c r="F20" s="26"/>
      <c r="G20" s="26"/>
      <c r="H20" s="26"/>
    </row>
    <row r="21" spans="1:8" ht="15.75">
      <c r="A21" s="27"/>
      <c r="B21" s="27"/>
      <c r="C21" s="27"/>
      <c r="D21" s="27"/>
      <c r="E21" s="26"/>
      <c r="F21" s="26"/>
      <c r="G21" s="26"/>
      <c r="H21" s="26"/>
    </row>
    <row r="22" spans="1:8" ht="15.75">
      <c r="A22" s="40"/>
      <c r="B22" s="40"/>
      <c r="C22" s="27"/>
      <c r="D22" s="27"/>
      <c r="E22" s="26"/>
      <c r="F22" s="26"/>
      <c r="G22" s="26"/>
      <c r="H22" s="26"/>
    </row>
    <row r="23" spans="1:8" ht="15.75">
      <c r="A23" s="27"/>
      <c r="B23" s="27"/>
      <c r="C23" s="27"/>
      <c r="D23" s="27"/>
      <c r="E23" s="26"/>
      <c r="F23" s="26"/>
      <c r="G23" s="26"/>
      <c r="H23" s="26"/>
    </row>
    <row r="24" spans="1:8" ht="15.75">
      <c r="A24" s="40" t="s">
        <v>9</v>
      </c>
      <c r="B24" s="40"/>
      <c r="C24" s="40"/>
      <c r="D24" s="40"/>
      <c r="E24" s="26"/>
      <c r="F24" s="26"/>
      <c r="G24" s="26"/>
      <c r="H24" s="26"/>
    </row>
    <row r="25" spans="1:8" ht="15.75">
      <c r="A25" s="27"/>
      <c r="B25" s="27"/>
      <c r="C25" s="27"/>
      <c r="D25" s="27"/>
      <c r="E25" s="26"/>
      <c r="F25" s="26"/>
      <c r="G25" s="26"/>
      <c r="H25" s="26"/>
    </row>
    <row r="26" spans="1:8" ht="15.75">
      <c r="A26" s="40" t="s">
        <v>29</v>
      </c>
      <c r="B26" s="40"/>
      <c r="C26" s="27"/>
      <c r="D26" s="27"/>
      <c r="E26" s="26"/>
      <c r="F26" s="26"/>
      <c r="G26" s="26"/>
      <c r="H26" s="26"/>
    </row>
    <row r="27" spans="1:8" ht="15.75">
      <c r="A27" s="26"/>
      <c r="B27" s="26"/>
      <c r="C27" s="26"/>
      <c r="D27" s="26"/>
      <c r="E27" s="26"/>
      <c r="F27" s="26"/>
      <c r="G27" s="26"/>
      <c r="H27" s="26"/>
    </row>
    <row r="28" spans="1:8" ht="15.75">
      <c r="A28" s="38"/>
      <c r="B28" s="38"/>
      <c r="C28" s="38"/>
      <c r="D28" s="38"/>
      <c r="E28" s="38"/>
      <c r="F28" s="38"/>
      <c r="G28" s="38"/>
      <c r="H28" s="26"/>
    </row>
    <row r="29" spans="1:7" ht="12.75">
      <c r="A29" s="70"/>
      <c r="B29" s="70"/>
      <c r="C29" s="70"/>
      <c r="D29" s="70"/>
      <c r="E29" s="70"/>
      <c r="F29" s="70"/>
      <c r="G29" s="70"/>
    </row>
  </sheetData>
  <sheetProtection/>
  <mergeCells count="42">
    <mergeCell ref="A26:B26"/>
    <mergeCell ref="A28:G28"/>
    <mergeCell ref="A29:G29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view="pageBreakPreview" zoomScale="90" zoomScaleSheetLayoutView="90" zoomScalePageLayoutView="0" workbookViewId="0" topLeftCell="A9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63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142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141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43">
        <v>167701.25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97560.48</v>
      </c>
      <c r="D11" s="50"/>
      <c r="E11" s="52">
        <f>147576.24+33343.56</f>
        <v>180919.8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364482.81-74287.64-E11</f>
        <v>109275.37</v>
      </c>
      <c r="D12" s="50"/>
      <c r="E12" s="52">
        <f>E11</f>
        <v>180919.8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f>124747.73+223.7</f>
        <v>124971.43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9118</v>
      </c>
      <c r="D14" s="50"/>
      <c r="E14" s="52">
        <f>E12</f>
        <v>180919.8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256143.72999999998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4"/>
      <c r="D16" s="26"/>
      <c r="E16" s="26"/>
      <c r="F16" s="26"/>
      <c r="G16" s="26"/>
      <c r="H16" s="26"/>
    </row>
    <row r="17" spans="1:8" ht="56.25" customHeight="1">
      <c r="A17" s="53"/>
      <c r="B17" s="53"/>
      <c r="C17" s="53"/>
      <c r="D17" s="53"/>
      <c r="E17" s="53"/>
      <c r="F17" s="53"/>
      <c r="G17" s="53"/>
      <c r="H17" s="53"/>
    </row>
    <row r="18" spans="1:8" ht="13.5" customHeight="1">
      <c r="A18" s="33"/>
      <c r="B18" s="33"/>
      <c r="C18" s="33"/>
      <c r="D18" s="33"/>
      <c r="E18" s="28"/>
      <c r="F18" s="28"/>
      <c r="G18" s="28"/>
      <c r="H18" s="28"/>
    </row>
    <row r="19" spans="1:8" ht="15.75">
      <c r="A19" s="40" t="s">
        <v>8</v>
      </c>
      <c r="B19" s="40"/>
      <c r="C19" s="25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 t="s">
        <v>9</v>
      </c>
      <c r="B21" s="40"/>
      <c r="C21" s="40"/>
      <c r="D21" s="40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27</v>
      </c>
      <c r="B23" s="40"/>
      <c r="C23" s="27"/>
      <c r="D23" s="27"/>
      <c r="E23" s="26"/>
      <c r="F23" s="26"/>
      <c r="G23" s="26"/>
      <c r="H23" s="26"/>
    </row>
    <row r="24" spans="1:8" ht="15.75">
      <c r="A24" s="26"/>
      <c r="B24" s="26"/>
      <c r="C24" s="26"/>
      <c r="D24" s="26"/>
      <c r="E24" s="26"/>
      <c r="F24" s="26"/>
      <c r="G24" s="26"/>
      <c r="H24" s="26"/>
    </row>
    <row r="25" spans="1:8" ht="12.75">
      <c r="A25" s="70"/>
      <c r="B25" s="70"/>
      <c r="C25" s="70"/>
      <c r="D25" s="70"/>
      <c r="E25" s="70"/>
      <c r="F25" s="70"/>
      <c r="G25" s="70"/>
      <c r="H25" s="70"/>
    </row>
    <row r="26" spans="1:5" ht="12.75">
      <c r="A26" s="72"/>
      <c r="B26" s="72"/>
      <c r="C26" s="72"/>
      <c r="D26" s="72"/>
      <c r="E26" s="7"/>
    </row>
    <row r="27" spans="1:5" ht="12.75">
      <c r="A27" s="72"/>
      <c r="B27" s="72"/>
      <c r="C27" s="72"/>
      <c r="D27" s="72"/>
      <c r="E27" s="7"/>
    </row>
    <row r="28" spans="1:6" ht="27" customHeight="1">
      <c r="A28" s="71"/>
      <c r="B28" s="71"/>
      <c r="C28" s="71"/>
      <c r="D28" s="71"/>
      <c r="E28" s="8"/>
      <c r="F28" s="2"/>
    </row>
    <row r="29" spans="1:5" ht="12.75">
      <c r="A29" s="72"/>
      <c r="B29" s="72"/>
      <c r="C29" s="72"/>
      <c r="D29" s="72"/>
      <c r="E29" s="7"/>
    </row>
    <row r="30" spans="1:6" ht="12.75">
      <c r="A30" s="73"/>
      <c r="B30" s="73"/>
      <c r="C30" s="73"/>
      <c r="D30" s="73"/>
      <c r="E30" s="9"/>
      <c r="F30" s="2"/>
    </row>
  </sheetData>
  <sheetProtection/>
  <mergeCells count="44">
    <mergeCell ref="A25:H25"/>
    <mergeCell ref="A16:B16"/>
    <mergeCell ref="A17:H17"/>
    <mergeCell ref="A19:B19"/>
    <mergeCell ref="A21:D21"/>
    <mergeCell ref="A23:B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28:D28"/>
    <mergeCell ref="A29:D29"/>
    <mergeCell ref="A27:D27"/>
    <mergeCell ref="A30:D30"/>
    <mergeCell ref="A26:D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view="pageBreakPreview" zoomScale="90" zoomScaleSheetLayoutView="90" zoomScalePageLayoutView="0" workbookViewId="0" topLeftCell="A10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64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143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1.5" customHeight="1">
      <c r="A10" s="74" t="s">
        <v>22</v>
      </c>
      <c r="B10" s="75"/>
      <c r="C10" s="43">
        <v>-1076860.29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f>109123.41+114695.34</f>
        <v>223818.75</v>
      </c>
      <c r="D11" s="50"/>
      <c r="E11" s="52">
        <f>264966.58+279922.34+58899.71</f>
        <v>603788.63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820478.11-E11</f>
        <v>216689.47999999998</v>
      </c>
      <c r="D12" s="50"/>
      <c r="E12" s="52">
        <f>E11</f>
        <v>603788.63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452981.39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339264</v>
      </c>
      <c r="D14" s="50"/>
      <c r="E14" s="52">
        <f>E12</f>
        <v>603788.63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-1192305.54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4"/>
      <c r="D16" s="26"/>
      <c r="E16" s="26"/>
      <c r="F16" s="26"/>
      <c r="G16" s="26"/>
      <c r="H16" s="26"/>
    </row>
    <row r="17" spans="1:8" ht="12.75" customHeight="1">
      <c r="A17" s="39"/>
      <c r="B17" s="39"/>
      <c r="C17" s="24"/>
      <c r="D17" s="26"/>
      <c r="E17" s="26"/>
      <c r="F17" s="26"/>
      <c r="G17" s="26"/>
      <c r="H17" s="26"/>
    </row>
    <row r="18" spans="1:8" ht="15.75">
      <c r="A18" s="38" t="s">
        <v>8</v>
      </c>
      <c r="B18" s="38"/>
      <c r="C18" s="32"/>
      <c r="D18" s="26"/>
      <c r="E18" s="26"/>
      <c r="F18" s="26"/>
      <c r="G18" s="26"/>
      <c r="H18" s="26"/>
    </row>
    <row r="19" spans="1:8" ht="15.75">
      <c r="A19" s="26"/>
      <c r="B19" s="26"/>
      <c r="C19" s="26"/>
      <c r="D19" s="26"/>
      <c r="E19" s="26"/>
      <c r="F19" s="26"/>
      <c r="G19" s="26"/>
      <c r="H19" s="26"/>
    </row>
    <row r="20" spans="1:8" ht="15.75">
      <c r="A20" s="26"/>
      <c r="B20" s="26"/>
      <c r="C20" s="26"/>
      <c r="D20" s="26"/>
      <c r="E20" s="26"/>
      <c r="F20" s="26"/>
      <c r="G20" s="26"/>
      <c r="H20" s="26"/>
    </row>
    <row r="21" spans="1:8" ht="15.75">
      <c r="A21" s="38"/>
      <c r="B21" s="38"/>
      <c r="C21" s="26"/>
      <c r="D21" s="26"/>
      <c r="E21" s="26"/>
      <c r="F21" s="26"/>
      <c r="G21" s="26"/>
      <c r="H21" s="26"/>
    </row>
    <row r="22" spans="1:8" ht="15.75">
      <c r="A22" s="26"/>
      <c r="B22" s="26"/>
      <c r="C22" s="26"/>
      <c r="D22" s="26"/>
      <c r="E22" s="26"/>
      <c r="F22" s="26"/>
      <c r="G22" s="26"/>
      <c r="H22" s="26"/>
    </row>
    <row r="23" spans="1:8" ht="15.75">
      <c r="A23" s="38" t="s">
        <v>9</v>
      </c>
      <c r="B23" s="38"/>
      <c r="C23" s="38"/>
      <c r="D23" s="38"/>
      <c r="E23" s="26"/>
      <c r="F23" s="26"/>
      <c r="G23" s="26"/>
      <c r="H23" s="26"/>
    </row>
    <row r="24" spans="1:8" ht="15.75">
      <c r="A24" s="26"/>
      <c r="B24" s="26"/>
      <c r="C24" s="26"/>
      <c r="D24" s="26"/>
      <c r="E24" s="26"/>
      <c r="F24" s="26"/>
      <c r="G24" s="26"/>
      <c r="H24" s="26"/>
    </row>
    <row r="25" spans="1:8" ht="15.75">
      <c r="A25" s="38" t="s">
        <v>27</v>
      </c>
      <c r="B25" s="38"/>
      <c r="C25" s="26"/>
      <c r="D25" s="26"/>
      <c r="E25" s="26"/>
      <c r="F25" s="26"/>
      <c r="G25" s="26"/>
      <c r="H25" s="26"/>
    </row>
    <row r="26" spans="1:8" ht="15.75">
      <c r="A26" s="26"/>
      <c r="B26" s="26"/>
      <c r="C26" s="26"/>
      <c r="D26" s="26"/>
      <c r="E26" s="26"/>
      <c r="F26" s="26"/>
      <c r="G26" s="26"/>
      <c r="H26" s="26"/>
    </row>
    <row r="27" spans="1:7" ht="12.75">
      <c r="A27" s="70"/>
      <c r="B27" s="70"/>
      <c r="C27" s="70"/>
      <c r="D27" s="70"/>
      <c r="E27" s="70"/>
      <c r="F27" s="70"/>
      <c r="G27" s="70"/>
    </row>
    <row r="28" spans="1:7" ht="12.75">
      <c r="A28" s="70"/>
      <c r="B28" s="70"/>
      <c r="C28" s="70"/>
      <c r="D28" s="70"/>
      <c r="E28" s="70"/>
      <c r="F28" s="70"/>
      <c r="G28" s="70"/>
    </row>
  </sheetData>
  <sheetProtection/>
  <mergeCells count="41">
    <mergeCell ref="A27:G27"/>
    <mergeCell ref="A28:G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view="pageBreakPreview" zoomScale="90" zoomScaleSheetLayoutView="90" zoomScalePageLayoutView="0" workbookViewId="0" topLeftCell="A7">
      <selection activeCell="C12" sqref="C12:D12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65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130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52</v>
      </c>
      <c r="B10" s="42"/>
      <c r="C10" s="43">
        <v>-171474.54</v>
      </c>
      <c r="D10" s="46"/>
      <c r="E10" s="45">
        <v>0</v>
      </c>
      <c r="F10" s="46"/>
      <c r="G10" s="43">
        <v>547345.91</v>
      </c>
      <c r="H10" s="44"/>
    </row>
    <row r="11" spans="1:8" ht="15.75">
      <c r="A11" s="47" t="s">
        <v>3</v>
      </c>
      <c r="B11" s="47"/>
      <c r="C11" s="52">
        <v>136508.75</v>
      </c>
      <c r="D11" s="50"/>
      <c r="E11" s="52">
        <f>316683.6+74572.2</f>
        <v>391255.8</v>
      </c>
      <c r="F11" s="50"/>
      <c r="G11" s="52">
        <v>427921.92</v>
      </c>
      <c r="H11" s="52"/>
    </row>
    <row r="12" spans="1:8" ht="15.75">
      <c r="A12" s="47" t="s">
        <v>4</v>
      </c>
      <c r="B12" s="47"/>
      <c r="C12" s="52">
        <f>651905.31-176604.11-E11</f>
        <v>84045.40000000008</v>
      </c>
      <c r="D12" s="50"/>
      <c r="E12" s="52">
        <f>576023.24-177102.42</f>
        <v>398920.81999999995</v>
      </c>
      <c r="F12" s="50"/>
      <c r="G12" s="52">
        <v>412437.79</v>
      </c>
      <c r="H12" s="52"/>
    </row>
    <row r="13" spans="1:8" ht="47.25" customHeight="1">
      <c r="A13" s="41" t="s">
        <v>140</v>
      </c>
      <c r="B13" s="42"/>
      <c r="C13" s="52">
        <f>364351.23-177076.22</f>
        <v>187275.00999999998</v>
      </c>
      <c r="D13" s="50"/>
      <c r="E13" s="50"/>
      <c r="F13" s="50"/>
      <c r="G13" s="52">
        <v>181262.16</v>
      </c>
      <c r="H13" s="52"/>
    </row>
    <row r="14" spans="1:8" ht="33" customHeight="1">
      <c r="A14" s="47" t="s">
        <v>5</v>
      </c>
      <c r="B14" s="47"/>
      <c r="C14" s="52">
        <v>310454.22</v>
      </c>
      <c r="D14" s="50"/>
      <c r="E14" s="52">
        <f>E11</f>
        <v>391255.8</v>
      </c>
      <c r="F14" s="50"/>
      <c r="G14" s="52">
        <v>0</v>
      </c>
      <c r="H14" s="52"/>
    </row>
    <row r="15" spans="1:8" ht="92.25" customHeight="1">
      <c r="A15" s="47" t="s">
        <v>10</v>
      </c>
      <c r="B15" s="47"/>
      <c r="C15" s="52">
        <f>C10+C11-C14</f>
        <v>-345420.01</v>
      </c>
      <c r="D15" s="50"/>
      <c r="E15" s="50">
        <v>0</v>
      </c>
      <c r="F15" s="50"/>
      <c r="G15" s="52">
        <v>985725.69</v>
      </c>
      <c r="H15" s="52"/>
    </row>
    <row r="16" spans="1:8" ht="13.5" customHeight="1">
      <c r="A16" s="39"/>
      <c r="B16" s="39"/>
      <c r="C16" s="26"/>
      <c r="D16" s="26"/>
      <c r="E16" s="26"/>
      <c r="F16" s="26"/>
      <c r="G16" s="26"/>
      <c r="H16" s="26"/>
    </row>
    <row r="17" spans="1:8" ht="12.75" customHeight="1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7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/>
      <c r="B21" s="40"/>
      <c r="C21" s="27"/>
      <c r="D21" s="27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9</v>
      </c>
      <c r="B23" s="40"/>
      <c r="C23" s="40"/>
      <c r="D23" s="40"/>
      <c r="E23" s="26"/>
      <c r="F23" s="26"/>
      <c r="G23" s="26"/>
      <c r="H23" s="26"/>
    </row>
    <row r="24" spans="1:8" ht="15.75">
      <c r="A24" s="27"/>
      <c r="B24" s="27"/>
      <c r="C24" s="27"/>
      <c r="D24" s="27"/>
      <c r="E24" s="26"/>
      <c r="F24" s="26"/>
      <c r="G24" s="26"/>
      <c r="H24" s="26"/>
    </row>
    <row r="25" spans="1:8" ht="15.75">
      <c r="A25" s="40" t="s">
        <v>27</v>
      </c>
      <c r="B25" s="40"/>
      <c r="C25" s="27"/>
      <c r="D25" s="27"/>
      <c r="E25" s="26"/>
      <c r="F25" s="26"/>
      <c r="G25" s="26"/>
      <c r="H25" s="26"/>
    </row>
    <row r="26" spans="1:4" ht="12.75">
      <c r="A26" s="30"/>
      <c r="B26" s="30"/>
      <c r="C26" s="30"/>
      <c r="D26" s="30"/>
    </row>
    <row r="27" spans="1:7" ht="12.75">
      <c r="A27" s="70"/>
      <c r="B27" s="70"/>
      <c r="C27" s="70"/>
      <c r="D27" s="70"/>
      <c r="E27" s="70"/>
      <c r="F27" s="70"/>
      <c r="G27" s="70"/>
    </row>
    <row r="28" spans="1:7" ht="12.75">
      <c r="A28" s="70"/>
      <c r="B28" s="70"/>
      <c r="C28" s="70"/>
      <c r="D28" s="70"/>
      <c r="E28" s="70"/>
      <c r="F28" s="70"/>
      <c r="G28" s="70"/>
    </row>
  </sheetData>
  <sheetProtection/>
  <mergeCells count="41">
    <mergeCell ref="A27:G27"/>
    <mergeCell ref="A28:G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10">
      <selection activeCell="A14" sqref="A14:B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66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131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52</v>
      </c>
      <c r="B10" s="42"/>
      <c r="C10" s="43">
        <v>-321032.87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193484.79</v>
      </c>
      <c r="D11" s="50"/>
      <c r="E11" s="52">
        <f>245989.7+237164.1+20025.72</f>
        <v>503179.52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675119.42-E11</f>
        <v>171939.90000000002</v>
      </c>
      <c r="D12" s="50"/>
      <c r="E12" s="52">
        <f>E11</f>
        <v>503179.52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208651.1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464198</v>
      </c>
      <c r="D14" s="50"/>
      <c r="E14" s="52">
        <f>E12</f>
        <v>503179.52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-591746.08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6"/>
      <c r="D16" s="26"/>
      <c r="E16" s="26"/>
      <c r="F16" s="26"/>
      <c r="G16" s="26"/>
      <c r="H16" s="26"/>
    </row>
    <row r="17" spans="1:8" ht="12.75" customHeight="1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7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/>
      <c r="B21" s="40"/>
      <c r="C21" s="27"/>
      <c r="D21" s="27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9</v>
      </c>
      <c r="B23" s="40"/>
      <c r="C23" s="40"/>
      <c r="D23" s="40"/>
      <c r="E23" s="26"/>
      <c r="F23" s="26"/>
      <c r="G23" s="26"/>
      <c r="H23" s="26"/>
    </row>
    <row r="24" spans="1:8" ht="15.75">
      <c r="A24" s="27"/>
      <c r="B24" s="27"/>
      <c r="C24" s="27"/>
      <c r="D24" s="27"/>
      <c r="E24" s="26"/>
      <c r="F24" s="26"/>
      <c r="G24" s="26"/>
      <c r="H24" s="26"/>
    </row>
    <row r="25" spans="1:8" ht="15.75">
      <c r="A25" s="40" t="s">
        <v>27</v>
      </c>
      <c r="B25" s="40"/>
      <c r="C25" s="27"/>
      <c r="D25" s="27"/>
      <c r="E25" s="26"/>
      <c r="F25" s="26"/>
      <c r="G25" s="26"/>
      <c r="H25" s="26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view="pageBreakPreview" zoomScale="90" zoomScaleSheetLayoutView="90" zoomScalePageLayoutView="0" workbookViewId="0" topLeftCell="A7">
      <selection activeCell="A5" sqref="A5:H5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33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93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4"/>
      <c r="B4" s="14"/>
      <c r="C4" s="14"/>
      <c r="D4" s="14"/>
      <c r="E4" s="14"/>
      <c r="F4" s="14"/>
      <c r="G4" s="14"/>
      <c r="H4" s="14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4"/>
      <c r="B6" s="14"/>
      <c r="C6" s="14"/>
      <c r="D6" s="14"/>
      <c r="E6" s="14"/>
      <c r="F6" s="14"/>
      <c r="G6" s="14"/>
      <c r="H6" s="14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54" customHeight="1">
      <c r="A9" s="54"/>
      <c r="B9" s="54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52">
        <v>99358.13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f>52233.72+50548.68</f>
        <v>102782.4</v>
      </c>
      <c r="D11" s="50"/>
      <c r="E11" s="52">
        <f>110299.92+114447.42</f>
        <v>224747.34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321746.54-E11</f>
        <v>96999.19999999998</v>
      </c>
      <c r="D12" s="50"/>
      <c r="E12" s="52">
        <f>E11</f>
        <v>224747.34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49522.67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8012.47</v>
      </c>
      <c r="D14" s="50"/>
      <c r="E14" s="52">
        <f>E12</f>
        <v>224747.34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194128.06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4"/>
      <c r="D16" s="14"/>
      <c r="E16" s="14"/>
      <c r="F16" s="14"/>
      <c r="G16" s="14"/>
      <c r="H16" s="14"/>
    </row>
    <row r="17" spans="1:8" ht="12.75" customHeight="1">
      <c r="A17" s="39"/>
      <c r="B17" s="39"/>
      <c r="C17" s="14"/>
      <c r="D17" s="14"/>
      <c r="E17" s="14"/>
      <c r="F17" s="14"/>
      <c r="G17" s="14"/>
      <c r="H17" s="14"/>
    </row>
    <row r="18" spans="1:8" ht="15.75">
      <c r="A18" s="40" t="s">
        <v>8</v>
      </c>
      <c r="B18" s="40"/>
      <c r="C18" s="14"/>
      <c r="D18" s="14"/>
      <c r="E18" s="14"/>
      <c r="F18" s="14"/>
      <c r="G18" s="14"/>
      <c r="H18" s="14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8" ht="15.75">
      <c r="A20" s="38"/>
      <c r="B20" s="38"/>
      <c r="C20" s="14"/>
      <c r="D20" s="14"/>
      <c r="E20" s="14"/>
      <c r="F20" s="14"/>
      <c r="G20" s="14"/>
      <c r="H20" s="14"/>
    </row>
    <row r="21" spans="1:8" ht="15.75">
      <c r="A21" s="14"/>
      <c r="B21" s="14"/>
      <c r="C21" s="14"/>
      <c r="D21" s="14"/>
      <c r="E21" s="14"/>
      <c r="F21" s="14"/>
      <c r="G21" s="14"/>
      <c r="H21" s="14"/>
    </row>
    <row r="22" spans="1:8" ht="15.75">
      <c r="A22" s="38"/>
      <c r="B22" s="38"/>
      <c r="C22" s="14"/>
      <c r="D22" s="14"/>
      <c r="E22" s="14"/>
      <c r="F22" s="14"/>
      <c r="G22" s="14"/>
      <c r="H22" s="14"/>
    </row>
    <row r="23" spans="1:8" ht="15.75">
      <c r="A23" s="14"/>
      <c r="B23" s="14"/>
      <c r="C23" s="14"/>
      <c r="D23" s="14"/>
      <c r="E23" s="14"/>
      <c r="F23" s="14"/>
      <c r="G23" s="14"/>
      <c r="H23" s="14"/>
    </row>
    <row r="24" spans="1:8" ht="15.75">
      <c r="A24" s="40" t="s">
        <v>9</v>
      </c>
      <c r="B24" s="40"/>
      <c r="C24" s="40"/>
      <c r="D24" s="40"/>
      <c r="E24" s="14"/>
      <c r="F24" s="14"/>
      <c r="G24" s="14"/>
      <c r="H24" s="14"/>
    </row>
    <row r="25" spans="1:8" ht="15.75">
      <c r="A25" s="16"/>
      <c r="B25" s="16"/>
      <c r="C25" s="16"/>
      <c r="D25" s="16"/>
      <c r="E25" s="14"/>
      <c r="F25" s="14"/>
      <c r="G25" s="14"/>
      <c r="H25" s="14"/>
    </row>
    <row r="26" spans="1:8" ht="15.75">
      <c r="A26" s="40" t="s">
        <v>30</v>
      </c>
      <c r="B26" s="40"/>
      <c r="C26" s="16"/>
      <c r="D26" s="16"/>
      <c r="E26" s="14"/>
      <c r="F26" s="14"/>
      <c r="G26" s="14"/>
      <c r="H26" s="14"/>
    </row>
  </sheetData>
  <sheetProtection/>
  <mergeCells count="40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I30"/>
  <sheetViews>
    <sheetView view="pageBreakPreview" zoomScale="90" zoomScaleSheetLayoutView="90" zoomScalePageLayoutView="0" workbookViewId="0" topLeftCell="A7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67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122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43">
        <v>-11826.23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66151.32</v>
      </c>
      <c r="D11" s="50"/>
      <c r="E11" s="52">
        <f>70851.78+74612.16</f>
        <v>145463.94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202962.63-E11</f>
        <v>57498.69</v>
      </c>
      <c r="D12" s="50"/>
      <c r="E12" s="52">
        <f>E11</f>
        <v>145463.94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132983.72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104614.72</v>
      </c>
      <c r="D14" s="50"/>
      <c r="E14" s="52">
        <f>E11</f>
        <v>145463.94</v>
      </c>
      <c r="F14" s="50"/>
      <c r="G14" s="50">
        <v>0</v>
      </c>
      <c r="H14" s="50"/>
    </row>
    <row r="15" spans="1:9" ht="92.25" customHeight="1">
      <c r="A15" s="47" t="s">
        <v>10</v>
      </c>
      <c r="B15" s="47"/>
      <c r="C15" s="52">
        <f>C10+C11-C14</f>
        <v>-50289.62999999999</v>
      </c>
      <c r="D15" s="50"/>
      <c r="E15" s="50">
        <v>0</v>
      </c>
      <c r="F15" s="50"/>
      <c r="G15" s="50">
        <v>0</v>
      </c>
      <c r="H15" s="50"/>
      <c r="I15" t="s">
        <v>47</v>
      </c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20"/>
      <c r="F18" s="20"/>
      <c r="G18" s="20"/>
      <c r="H18" s="19"/>
    </row>
    <row r="19" spans="1:8" ht="15.75">
      <c r="A19" s="20"/>
      <c r="B19" s="20"/>
      <c r="C19" s="20"/>
      <c r="D19" s="20"/>
      <c r="E19" s="20"/>
      <c r="F19" s="20"/>
      <c r="G19" s="20"/>
      <c r="H19" s="19"/>
    </row>
    <row r="20" spans="1:8" ht="15.75">
      <c r="A20" s="20"/>
      <c r="B20" s="20"/>
      <c r="C20" s="20"/>
      <c r="D20" s="20"/>
      <c r="E20" s="20"/>
      <c r="F20" s="20"/>
      <c r="G20" s="20"/>
      <c r="H20" s="19"/>
    </row>
    <row r="21" spans="1:8" ht="15.75">
      <c r="A21" s="40"/>
      <c r="B21" s="40"/>
      <c r="C21" s="20"/>
      <c r="D21" s="20"/>
      <c r="E21" s="20"/>
      <c r="F21" s="20"/>
      <c r="G21" s="20"/>
      <c r="H21" s="19"/>
    </row>
    <row r="22" spans="1:8" ht="15.75">
      <c r="A22" s="20"/>
      <c r="B22" s="20"/>
      <c r="C22" s="20"/>
      <c r="D22" s="20"/>
      <c r="E22" s="20"/>
      <c r="F22" s="20"/>
      <c r="G22" s="20"/>
      <c r="H22" s="19"/>
    </row>
    <row r="23" spans="1:8" ht="15.75">
      <c r="A23" s="40" t="s">
        <v>9</v>
      </c>
      <c r="B23" s="40"/>
      <c r="C23" s="40"/>
      <c r="D23" s="40"/>
      <c r="E23" s="20"/>
      <c r="F23" s="20"/>
      <c r="G23" s="20"/>
      <c r="H23" s="19"/>
    </row>
    <row r="24" spans="1:8" ht="15.75">
      <c r="A24" s="20"/>
      <c r="B24" s="20"/>
      <c r="C24" s="20"/>
      <c r="D24" s="20"/>
      <c r="E24" s="20"/>
      <c r="F24" s="20"/>
      <c r="G24" s="20"/>
      <c r="H24" s="19"/>
    </row>
    <row r="25" spans="1:8" ht="15.75">
      <c r="A25" s="40" t="s">
        <v>27</v>
      </c>
      <c r="B25" s="40"/>
      <c r="C25" s="20"/>
      <c r="D25" s="20"/>
      <c r="E25" s="20"/>
      <c r="F25" s="20"/>
      <c r="G25" s="20"/>
      <c r="H25" s="19"/>
    </row>
    <row r="26" spans="1:8" ht="15.75">
      <c r="A26" s="20"/>
      <c r="B26" s="20"/>
      <c r="C26" s="20"/>
      <c r="D26" s="20"/>
      <c r="E26" s="20"/>
      <c r="F26" s="20"/>
      <c r="G26" s="20"/>
      <c r="H26" s="19"/>
    </row>
    <row r="27" spans="1:8" ht="15.75">
      <c r="A27" s="20"/>
      <c r="B27" s="20"/>
      <c r="C27" s="20"/>
      <c r="D27" s="20"/>
      <c r="E27" s="20"/>
      <c r="F27" s="20"/>
      <c r="G27" s="20"/>
      <c r="H27" s="19"/>
    </row>
    <row r="28" spans="1:8" ht="15.75">
      <c r="A28" s="40"/>
      <c r="B28" s="40"/>
      <c r="C28" s="40"/>
      <c r="D28" s="40"/>
      <c r="E28" s="40"/>
      <c r="F28" s="40"/>
      <c r="G28" s="40"/>
      <c r="H28" s="19"/>
    </row>
    <row r="29" spans="1:8" ht="15.75">
      <c r="A29" s="38"/>
      <c r="B29" s="38"/>
      <c r="C29" s="38"/>
      <c r="D29" s="38"/>
      <c r="E29" s="38"/>
      <c r="F29" s="38"/>
      <c r="G29" s="38"/>
      <c r="H29" s="19"/>
    </row>
    <row r="30" spans="1:8" ht="15.75">
      <c r="A30" s="19"/>
      <c r="B30" s="19"/>
      <c r="C30" s="19"/>
      <c r="D30" s="19"/>
      <c r="E30" s="19"/>
      <c r="F30" s="19"/>
      <c r="G30" s="19"/>
      <c r="H30" s="19"/>
    </row>
  </sheetData>
  <sheetProtection/>
  <mergeCells count="41">
    <mergeCell ref="A28:G28"/>
    <mergeCell ref="A29:G29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view="pageBreakPreview" zoomScale="90" zoomScaleSheetLayoutView="90" zoomScalePageLayoutView="0" workbookViewId="0" topLeftCell="A10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68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144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43">
        <v>119878.79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71679.88</v>
      </c>
      <c r="D11" s="50"/>
      <c r="E11" s="52">
        <f>123255.2+131385.54</f>
        <v>254640.74</v>
      </c>
      <c r="F11" s="50"/>
      <c r="G11" s="65"/>
      <c r="H11" s="65"/>
    </row>
    <row r="12" spans="1:8" ht="15.75">
      <c r="A12" s="47" t="s">
        <v>4</v>
      </c>
      <c r="B12" s="47"/>
      <c r="C12" s="52">
        <f>347773.59-E11</f>
        <v>93132.85000000003</v>
      </c>
      <c r="D12" s="50"/>
      <c r="E12" s="52">
        <f>E11</f>
        <v>254640.74</v>
      </c>
      <c r="F12" s="50"/>
      <c r="G12" s="50"/>
      <c r="H12" s="50"/>
    </row>
    <row r="13" spans="1:8" ht="47.25" customHeight="1">
      <c r="A13" s="41" t="s">
        <v>140</v>
      </c>
      <c r="B13" s="42"/>
      <c r="C13" s="52">
        <v>204757.42</v>
      </c>
      <c r="D13" s="50"/>
      <c r="E13" s="52">
        <f>E11-E12</f>
        <v>0</v>
      </c>
      <c r="F13" s="50"/>
      <c r="G13" s="50"/>
      <c r="H13" s="50"/>
    </row>
    <row r="14" spans="1:8" ht="33" customHeight="1">
      <c r="A14" s="47" t="s">
        <v>5</v>
      </c>
      <c r="B14" s="47"/>
      <c r="C14" s="52">
        <v>162657.44</v>
      </c>
      <c r="D14" s="50"/>
      <c r="E14" s="52">
        <f>E12</f>
        <v>254640.74</v>
      </c>
      <c r="F14" s="50"/>
      <c r="G14" s="50"/>
      <c r="H14" s="50"/>
    </row>
    <row r="15" spans="1:8" ht="92.25" customHeight="1">
      <c r="A15" s="47" t="s">
        <v>10</v>
      </c>
      <c r="B15" s="47"/>
      <c r="C15" s="52">
        <f>C10+C11-C14</f>
        <v>28901.22999999998</v>
      </c>
      <c r="D15" s="50"/>
      <c r="E15" s="50">
        <v>0</v>
      </c>
      <c r="F15" s="50"/>
      <c r="G15" s="50"/>
      <c r="H15" s="50"/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20"/>
      <c r="B21" s="20"/>
      <c r="C21" s="20"/>
      <c r="D21" s="20"/>
      <c r="E21" s="19"/>
      <c r="F21" s="19"/>
      <c r="G21" s="19"/>
      <c r="H21" s="19"/>
    </row>
    <row r="22" spans="1:8" ht="15.75">
      <c r="A22" s="40"/>
      <c r="B22" s="40"/>
      <c r="C22" s="20"/>
      <c r="D22" s="20"/>
      <c r="E22" s="19"/>
      <c r="F22" s="19"/>
      <c r="G22" s="19"/>
      <c r="H22" s="19"/>
    </row>
    <row r="23" spans="1:8" ht="15.75">
      <c r="A23" s="20"/>
      <c r="B23" s="20"/>
      <c r="C23" s="20"/>
      <c r="D23" s="20"/>
      <c r="E23" s="19"/>
      <c r="F23" s="19"/>
      <c r="G23" s="19"/>
      <c r="H23" s="19"/>
    </row>
    <row r="24" spans="1:8" ht="15.75">
      <c r="A24" s="40" t="s">
        <v>9</v>
      </c>
      <c r="B24" s="40"/>
      <c r="C24" s="40"/>
      <c r="D24" s="40"/>
      <c r="E24" s="19"/>
      <c r="F24" s="19"/>
      <c r="G24" s="19"/>
      <c r="H24" s="19"/>
    </row>
    <row r="25" spans="1:8" ht="15.75">
      <c r="A25" s="20"/>
      <c r="B25" s="20"/>
      <c r="C25" s="20"/>
      <c r="D25" s="20"/>
      <c r="E25" s="19"/>
      <c r="F25" s="19"/>
      <c r="G25" s="19"/>
      <c r="H25" s="19"/>
    </row>
    <row r="26" spans="1:8" ht="15.75">
      <c r="A26" s="40" t="s">
        <v>27</v>
      </c>
      <c r="B26" s="40"/>
      <c r="C26" s="20"/>
      <c r="D26" s="20"/>
      <c r="E26" s="19"/>
      <c r="F26" s="19"/>
      <c r="G26" s="19"/>
      <c r="H26" s="19"/>
    </row>
    <row r="27" spans="1:8" ht="15.75">
      <c r="A27" s="19"/>
      <c r="B27" s="19"/>
      <c r="C27" s="19"/>
      <c r="D27" s="19"/>
      <c r="E27" s="19"/>
      <c r="F27" s="19"/>
      <c r="G27" s="19"/>
      <c r="H27" s="19"/>
    </row>
    <row r="28" spans="1:8" ht="15.75">
      <c r="A28" s="19"/>
      <c r="B28" s="19"/>
      <c r="C28" s="19"/>
      <c r="D28" s="19"/>
      <c r="E28" s="19"/>
      <c r="F28" s="19"/>
      <c r="G28" s="19"/>
      <c r="H28" s="19"/>
    </row>
  </sheetData>
  <sheetProtection/>
  <mergeCells count="39">
    <mergeCell ref="A26:B26"/>
    <mergeCell ref="A16:B16"/>
    <mergeCell ref="A17:B17"/>
    <mergeCell ref="A18:B18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7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69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121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43">
        <v>-32150.49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60082.14</v>
      </c>
      <c r="D11" s="50"/>
      <c r="E11" s="52">
        <f>-1551.74+78485.34+74692.14</f>
        <v>151625.74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232670.76-E11</f>
        <v>81045.02000000002</v>
      </c>
      <c r="D12" s="50"/>
      <c r="E12" s="52">
        <f>E11</f>
        <v>151625.74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238717.46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96312</v>
      </c>
      <c r="D14" s="50"/>
      <c r="E14" s="52">
        <f>E11</f>
        <v>151625.74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-68380.35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/>
      <c r="B21" s="40"/>
      <c r="C21" s="20"/>
      <c r="D21" s="2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9</v>
      </c>
      <c r="B23" s="40"/>
      <c r="C23" s="40"/>
      <c r="D23" s="4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40" t="s">
        <v>27</v>
      </c>
      <c r="B25" s="40"/>
      <c r="C25" s="20"/>
      <c r="D25" s="20"/>
      <c r="E25" s="19"/>
      <c r="F25" s="19"/>
      <c r="G25" s="19"/>
      <c r="H25" s="19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4">
      <selection activeCell="E9" sqref="E9:F9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70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120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7.75" customHeight="1">
      <c r="A10" s="41" t="s">
        <v>22</v>
      </c>
      <c r="B10" s="42"/>
      <c r="C10" s="43">
        <v>62703.79</v>
      </c>
      <c r="D10" s="46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f>26037.96</f>
        <v>26037.96</v>
      </c>
      <c r="D11" s="50"/>
      <c r="E11" s="52">
        <f>32983.86+31389.6</f>
        <v>64373.46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79730.45-E11</f>
        <v>15356.989999999998</v>
      </c>
      <c r="D12" s="50"/>
      <c r="E12" s="52">
        <f>E11</f>
        <v>64373.46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160997.03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42347</v>
      </c>
      <c r="D14" s="50"/>
      <c r="E14" s="52">
        <f>E12</f>
        <v>64373.46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46394.75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4"/>
      <c r="D16" s="19"/>
      <c r="E16" s="19"/>
      <c r="F16" s="19"/>
      <c r="G16" s="19"/>
      <c r="H16" s="19"/>
    </row>
    <row r="17" spans="1:8" ht="12.75" customHeight="1">
      <c r="A17" s="39"/>
      <c r="B17" s="39"/>
      <c r="C17" s="24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5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/>
      <c r="B21" s="40"/>
      <c r="C21" s="20"/>
      <c r="D21" s="2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9</v>
      </c>
      <c r="B23" s="40"/>
      <c r="C23" s="40"/>
      <c r="D23" s="4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40" t="s">
        <v>29</v>
      </c>
      <c r="B25" s="40"/>
      <c r="C25" s="20"/>
      <c r="D25" s="20"/>
      <c r="E25" s="19"/>
      <c r="F25" s="19"/>
      <c r="G25" s="19"/>
      <c r="H25" s="19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"/>
  <sheetViews>
    <sheetView view="pageBreakPreview" zoomScale="90" zoomScaleSheetLayoutView="90" zoomScalePageLayoutView="0" workbookViewId="0" topLeftCell="A10">
      <selection activeCell="C15" sqref="C15:D15"/>
    </sheetView>
  </sheetViews>
  <sheetFormatPr defaultColWidth="9.140625" defaultRowHeight="12.75"/>
  <cols>
    <col min="1" max="2" width="12.7109375" style="5" customWidth="1"/>
    <col min="3" max="16384" width="9.140625" style="5" customWidth="1"/>
  </cols>
  <sheetData>
    <row r="1" spans="1:8" ht="15.75">
      <c r="A1" s="37" t="s">
        <v>71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145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51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3" customHeight="1">
      <c r="A10" s="41" t="s">
        <v>36</v>
      </c>
      <c r="B10" s="42"/>
      <c r="C10" s="52">
        <v>-440398.8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37</v>
      </c>
      <c r="B11" s="47"/>
      <c r="C11" s="52">
        <v>146295.44</v>
      </c>
      <c r="D11" s="50"/>
      <c r="E11" s="52">
        <f>315517.36+29192.32</f>
        <v>344709.68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469746.86-E11</f>
        <v>125037.18</v>
      </c>
      <c r="D12" s="50"/>
      <c r="E12" s="52">
        <f>E11</f>
        <v>344709.68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327706.12</v>
      </c>
      <c r="D13" s="50"/>
      <c r="E13" s="50">
        <v>0</v>
      </c>
      <c r="F13" s="50"/>
      <c r="G13" s="50">
        <v>0</v>
      </c>
      <c r="H13" s="50"/>
    </row>
    <row r="14" spans="1:8" ht="40.5" customHeight="1">
      <c r="A14" s="47" t="s">
        <v>38</v>
      </c>
      <c r="B14" s="47"/>
      <c r="C14" s="52">
        <v>75694.44</v>
      </c>
      <c r="D14" s="50"/>
      <c r="E14" s="52">
        <f>E11</f>
        <v>344709.68</v>
      </c>
      <c r="F14" s="50"/>
      <c r="G14" s="50">
        <v>0</v>
      </c>
      <c r="H14" s="50"/>
    </row>
    <row r="15" spans="1:8" ht="70.5" customHeight="1">
      <c r="A15" s="47" t="s">
        <v>85</v>
      </c>
      <c r="B15" s="47"/>
      <c r="C15" s="52">
        <f>C10+C11-C14</f>
        <v>-369797.8</v>
      </c>
      <c r="D15" s="50"/>
      <c r="E15" s="50">
        <v>0</v>
      </c>
      <c r="F15" s="50"/>
      <c r="G15" s="50">
        <v>0</v>
      </c>
      <c r="H15" s="50"/>
    </row>
    <row r="16" spans="1:8" s="6" customFormat="1" ht="68.25" customHeight="1" hidden="1">
      <c r="A16" s="47" t="s">
        <v>86</v>
      </c>
      <c r="B16" s="47"/>
      <c r="C16" s="43">
        <f>C15-C13</f>
        <v>-697503.9199999999</v>
      </c>
      <c r="D16" s="46"/>
      <c r="E16" s="45">
        <v>0</v>
      </c>
      <c r="F16" s="46"/>
      <c r="G16" s="45">
        <v>0</v>
      </c>
      <c r="H16" s="46"/>
    </row>
    <row r="17" spans="1:8" ht="13.5" customHeight="1">
      <c r="A17" s="39"/>
      <c r="B17" s="39"/>
      <c r="C17" s="19"/>
      <c r="D17" s="19"/>
      <c r="E17" s="19"/>
      <c r="F17" s="19"/>
      <c r="G17" s="19"/>
      <c r="H17" s="19"/>
    </row>
    <row r="18" spans="1:8" ht="12.75" customHeight="1">
      <c r="A18" s="39"/>
      <c r="B18" s="39"/>
      <c r="C18" s="19"/>
      <c r="D18" s="19"/>
      <c r="E18" s="19"/>
      <c r="F18" s="19"/>
      <c r="G18" s="19"/>
      <c r="H18" s="19"/>
    </row>
    <row r="19" spans="1:8" ht="15.75">
      <c r="A19" s="40" t="s">
        <v>8</v>
      </c>
      <c r="B19" s="4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 t="s">
        <v>9</v>
      </c>
      <c r="B21" s="40"/>
      <c r="C21" s="40"/>
      <c r="D21" s="4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27</v>
      </c>
      <c r="B23" s="40"/>
      <c r="C23" s="20"/>
      <c r="D23" s="2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20"/>
      <c r="B25" s="20"/>
      <c r="C25" s="20"/>
      <c r="D25" s="20"/>
      <c r="E25" s="19"/>
      <c r="F25" s="19"/>
      <c r="G25" s="19"/>
      <c r="H25" s="19"/>
    </row>
    <row r="26" spans="1:8" ht="15.7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9"/>
      <c r="B27" s="19"/>
      <c r="C27" s="19"/>
      <c r="D27" s="19"/>
      <c r="E27" s="19"/>
      <c r="F27" s="19"/>
      <c r="G27" s="19"/>
      <c r="H27" s="19"/>
    </row>
    <row r="28" spans="1:8" ht="15.75">
      <c r="A28" s="19"/>
      <c r="B28" s="19"/>
      <c r="C28" s="31"/>
      <c r="D28" s="31"/>
      <c r="E28" s="31"/>
      <c r="F28" s="31"/>
      <c r="G28" s="31"/>
      <c r="H28" s="31"/>
    </row>
    <row r="29" spans="1:8" ht="15.75">
      <c r="A29" s="19"/>
      <c r="B29" s="19"/>
      <c r="C29" s="31"/>
      <c r="D29" s="31"/>
      <c r="E29" s="31"/>
      <c r="F29" s="31"/>
      <c r="G29" s="31"/>
      <c r="H29" s="31"/>
    </row>
  </sheetData>
  <sheetProtection/>
  <mergeCells count="42">
    <mergeCell ref="A18:B18"/>
    <mergeCell ref="A19:B19"/>
    <mergeCell ref="A21:D21"/>
    <mergeCell ref="A23:B23"/>
    <mergeCell ref="A16:B16"/>
    <mergeCell ref="C16:D16"/>
    <mergeCell ref="E16:F16"/>
    <mergeCell ref="G16:H16"/>
    <mergeCell ref="A17:B17"/>
    <mergeCell ref="G14:H14"/>
    <mergeCell ref="A15:B15"/>
    <mergeCell ref="C15:D15"/>
    <mergeCell ref="E15:F15"/>
    <mergeCell ref="G15:H15"/>
    <mergeCell ref="A14:B14"/>
    <mergeCell ref="C14:D14"/>
    <mergeCell ref="E14:F14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A12:B12"/>
    <mergeCell ref="C12:D12"/>
    <mergeCell ref="E12:F12"/>
    <mergeCell ref="G12:H12"/>
    <mergeCell ref="A13:B13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"/>
  <sheetViews>
    <sheetView view="pageBreakPreview" zoomScale="90" zoomScaleSheetLayoutView="90" zoomScalePageLayoutView="0" workbookViewId="0" topLeftCell="A9">
      <selection activeCell="C14" sqref="C14:D14"/>
    </sheetView>
  </sheetViews>
  <sheetFormatPr defaultColWidth="9.140625" defaultRowHeight="12.75"/>
  <cols>
    <col min="1" max="2" width="12.7109375" style="5" customWidth="1"/>
    <col min="3" max="16384" width="9.140625" style="5" customWidth="1"/>
  </cols>
  <sheetData>
    <row r="1" spans="1:8" ht="15.75">
      <c r="A1" s="37" t="s">
        <v>113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114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51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3" customHeight="1">
      <c r="A10" s="41" t="s">
        <v>36</v>
      </c>
      <c r="B10" s="42"/>
      <c r="C10" s="52">
        <v>-9092</v>
      </c>
      <c r="D10" s="50"/>
      <c r="E10" s="45">
        <v>0</v>
      </c>
      <c r="F10" s="46"/>
      <c r="G10" s="43">
        <v>0</v>
      </c>
      <c r="H10" s="44"/>
    </row>
    <row r="11" spans="1:8" ht="15.75">
      <c r="A11" s="47" t="s">
        <v>37</v>
      </c>
      <c r="B11" s="47"/>
      <c r="C11" s="52">
        <f>8556.66+19698.95</f>
        <v>28255.61</v>
      </c>
      <c r="D11" s="50"/>
      <c r="E11" s="52">
        <f>-2202.2+51765.67+82087.09+6748.08-199.89</f>
        <v>138198.74999999997</v>
      </c>
      <c r="F11" s="50"/>
      <c r="G11" s="52">
        <v>46247.1</v>
      </c>
      <c r="H11" s="52"/>
    </row>
    <row r="12" spans="1:8" ht="15.75">
      <c r="A12" s="47" t="s">
        <v>4</v>
      </c>
      <c r="B12" s="47"/>
      <c r="C12" s="52">
        <f>152823.84-E11</f>
        <v>14625.090000000026</v>
      </c>
      <c r="D12" s="50"/>
      <c r="E12" s="52">
        <f>E11</f>
        <v>138198.74999999997</v>
      </c>
      <c r="F12" s="50"/>
      <c r="G12" s="52">
        <v>24000.77</v>
      </c>
      <c r="H12" s="52"/>
    </row>
    <row r="13" spans="1:8" ht="47.25" customHeight="1">
      <c r="A13" s="41" t="s">
        <v>140</v>
      </c>
      <c r="B13" s="42"/>
      <c r="C13" s="52">
        <f>93316.75-22658.79</f>
        <v>70657.95999999999</v>
      </c>
      <c r="D13" s="50"/>
      <c r="E13" s="52">
        <v>0</v>
      </c>
      <c r="F13" s="50"/>
      <c r="G13" s="52">
        <v>22658.79</v>
      </c>
      <c r="H13" s="52"/>
    </row>
    <row r="14" spans="1:8" ht="40.5" customHeight="1">
      <c r="A14" s="47" t="s">
        <v>38</v>
      </c>
      <c r="B14" s="47"/>
      <c r="C14" s="52">
        <v>15758</v>
      </c>
      <c r="D14" s="50"/>
      <c r="E14" s="52">
        <f>E11</f>
        <v>138198.74999999997</v>
      </c>
      <c r="F14" s="50"/>
      <c r="G14" s="52">
        <v>0</v>
      </c>
      <c r="H14" s="52"/>
    </row>
    <row r="15" spans="1:8" ht="70.5" customHeight="1">
      <c r="A15" s="47" t="s">
        <v>85</v>
      </c>
      <c r="B15" s="47"/>
      <c r="C15" s="52">
        <f>C10+C11-C14</f>
        <v>3405.6100000000006</v>
      </c>
      <c r="D15" s="50"/>
      <c r="E15" s="52">
        <v>0</v>
      </c>
      <c r="F15" s="50"/>
      <c r="G15" s="52">
        <v>24000.77</v>
      </c>
      <c r="H15" s="52"/>
    </row>
    <row r="16" spans="1:8" s="6" customFormat="1" ht="68.25" customHeight="1" hidden="1">
      <c r="A16" s="47" t="s">
        <v>86</v>
      </c>
      <c r="B16" s="47"/>
      <c r="C16" s="43">
        <f>C15-C13</f>
        <v>-67252.34999999999</v>
      </c>
      <c r="D16" s="46"/>
      <c r="E16" s="45">
        <v>0</v>
      </c>
      <c r="F16" s="46"/>
      <c r="G16" s="45">
        <v>0</v>
      </c>
      <c r="H16" s="46"/>
    </row>
    <row r="17" spans="1:8" ht="13.5" customHeight="1">
      <c r="A17" s="39"/>
      <c r="B17" s="39"/>
      <c r="C17" s="19"/>
      <c r="D17" s="19"/>
      <c r="E17" s="19"/>
      <c r="F17" s="19"/>
      <c r="G17" s="19"/>
      <c r="H17" s="19"/>
    </row>
    <row r="18" spans="1:8" ht="12.75" customHeight="1">
      <c r="A18" s="39"/>
      <c r="B18" s="39"/>
      <c r="C18" s="19"/>
      <c r="D18" s="19"/>
      <c r="E18" s="19"/>
      <c r="F18" s="19"/>
      <c r="G18" s="19"/>
      <c r="H18" s="19"/>
    </row>
    <row r="19" spans="1:8" ht="15.75">
      <c r="A19" s="40" t="s">
        <v>8</v>
      </c>
      <c r="B19" s="4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 t="s">
        <v>9</v>
      </c>
      <c r="B21" s="40"/>
      <c r="C21" s="40"/>
      <c r="D21" s="4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27</v>
      </c>
      <c r="B23" s="40"/>
      <c r="C23" s="20"/>
      <c r="D23" s="2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20"/>
      <c r="B25" s="20"/>
      <c r="C25" s="20"/>
      <c r="D25" s="20"/>
      <c r="E25" s="19"/>
      <c r="F25" s="19"/>
      <c r="G25" s="19"/>
      <c r="H25" s="19"/>
    </row>
    <row r="26" spans="1:8" ht="15.7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9"/>
      <c r="B27" s="19"/>
      <c r="C27" s="19"/>
      <c r="D27" s="19"/>
      <c r="E27" s="19"/>
      <c r="F27" s="19"/>
      <c r="G27" s="19"/>
      <c r="H27" s="19"/>
    </row>
    <row r="28" spans="1:8" ht="15.75">
      <c r="A28" s="19"/>
      <c r="B28" s="19"/>
      <c r="C28" s="31"/>
      <c r="D28" s="31"/>
      <c r="E28" s="31"/>
      <c r="F28" s="31"/>
      <c r="G28" s="31"/>
      <c r="H28" s="31"/>
    </row>
    <row r="29" spans="1:8" ht="15.75">
      <c r="A29" s="19"/>
      <c r="B29" s="19"/>
      <c r="C29" s="31"/>
      <c r="D29" s="31"/>
      <c r="E29" s="31"/>
      <c r="F29" s="31"/>
      <c r="G29" s="31"/>
      <c r="H29" s="31"/>
    </row>
  </sheetData>
  <sheetProtection/>
  <mergeCells count="42">
    <mergeCell ref="A19:B19"/>
    <mergeCell ref="A21:D21"/>
    <mergeCell ref="A23:B23"/>
    <mergeCell ref="A16:B16"/>
    <mergeCell ref="C16:D16"/>
    <mergeCell ref="E16:F16"/>
    <mergeCell ref="G16:H16"/>
    <mergeCell ref="A17:B17"/>
    <mergeCell ref="A18:B18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A1:H1"/>
    <mergeCell ref="A2:H2"/>
    <mergeCell ref="A3:H3"/>
    <mergeCell ref="A5:H5"/>
    <mergeCell ref="A7:H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9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16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112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7.75" customHeight="1">
      <c r="A10" s="41" t="s">
        <v>22</v>
      </c>
      <c r="B10" s="42"/>
      <c r="C10" s="52">
        <v>-924105.6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f>111608.28+109658.66</f>
        <v>221266.94</v>
      </c>
      <c r="D11" s="50"/>
      <c r="E11" s="52">
        <f>231800.96+55223.27+233790.16+56391.58</f>
        <v>577205.97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400515.82+410687.34-E11</f>
        <v>233997.19000000006</v>
      </c>
      <c r="D12" s="50"/>
      <c r="E12" s="52">
        <f>E11</f>
        <v>577205.97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f>217830.33+140406.59</f>
        <v>358236.92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157504.63</v>
      </c>
      <c r="D14" s="50"/>
      <c r="E14" s="52">
        <f>E11</f>
        <v>577205.97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-860343.2899999999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/>
      <c r="B21" s="40"/>
      <c r="C21" s="20"/>
      <c r="D21" s="2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9</v>
      </c>
      <c r="B23" s="40"/>
      <c r="C23" s="40"/>
      <c r="D23" s="4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40" t="s">
        <v>27</v>
      </c>
      <c r="B25" s="40"/>
      <c r="C25" s="20"/>
      <c r="D25" s="20"/>
      <c r="E25" s="19"/>
      <c r="F25" s="19"/>
      <c r="G25" s="19"/>
      <c r="H25" s="19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7">
      <selection activeCell="A13" sqref="A13:B13"/>
    </sheetView>
  </sheetViews>
  <sheetFormatPr defaultColWidth="9.140625" defaultRowHeight="12.75"/>
  <cols>
    <col min="1" max="2" width="12.7109375" style="0" customWidth="1"/>
    <col min="3" max="3" width="9.140625" style="0" customWidth="1"/>
  </cols>
  <sheetData>
    <row r="1" spans="1:8" ht="15.75">
      <c r="A1" s="37" t="s">
        <v>17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115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52">
        <v>116519.77</v>
      </c>
      <c r="D10" s="50"/>
      <c r="E10" s="45">
        <v>0</v>
      </c>
      <c r="F10" s="46"/>
      <c r="G10" s="43">
        <v>0</v>
      </c>
      <c r="H10" s="44"/>
    </row>
    <row r="11" spans="1:8" ht="15.75">
      <c r="A11" s="47" t="s">
        <v>3</v>
      </c>
      <c r="B11" s="47"/>
      <c r="C11" s="52">
        <f>74106.06+54801.05</f>
        <v>128907.11</v>
      </c>
      <c r="D11" s="50"/>
      <c r="E11" s="52">
        <f>155062.26+27151.45+133889.1</f>
        <v>316102.81000000006</v>
      </c>
      <c r="F11" s="50"/>
      <c r="G11" s="52">
        <v>255323.4</v>
      </c>
      <c r="H11" s="52"/>
    </row>
    <row r="12" spans="1:8" ht="15.75">
      <c r="A12" s="47" t="s">
        <v>4</v>
      </c>
      <c r="B12" s="47"/>
      <c r="C12" s="52">
        <f>485242.45-E11</f>
        <v>169139.63999999996</v>
      </c>
      <c r="D12" s="50"/>
      <c r="E12" s="52">
        <f>E11</f>
        <v>316102.81000000006</v>
      </c>
      <c r="F12" s="50"/>
      <c r="G12" s="52">
        <v>268446.2</v>
      </c>
      <c r="H12" s="52"/>
    </row>
    <row r="13" spans="1:8" ht="47.25" customHeight="1">
      <c r="A13" s="41" t="s">
        <v>140</v>
      </c>
      <c r="B13" s="42"/>
      <c r="C13" s="52">
        <f>211439.24-(-12773.48)</f>
        <v>224212.72</v>
      </c>
      <c r="D13" s="50"/>
      <c r="E13" s="50">
        <v>0</v>
      </c>
      <c r="F13" s="50"/>
      <c r="G13" s="52">
        <v>192917.81</v>
      </c>
      <c r="H13" s="52"/>
    </row>
    <row r="14" spans="1:8" ht="33" customHeight="1">
      <c r="A14" s="47" t="s">
        <v>5</v>
      </c>
      <c r="B14" s="47"/>
      <c r="C14" s="52">
        <v>51910.08</v>
      </c>
      <c r="D14" s="50"/>
      <c r="E14" s="52">
        <f>E11</f>
        <v>316102.81000000006</v>
      </c>
      <c r="F14" s="50"/>
      <c r="G14" s="52">
        <v>0</v>
      </c>
      <c r="H14" s="52"/>
    </row>
    <row r="15" spans="1:8" ht="92.25" customHeight="1">
      <c r="A15" s="47" t="s">
        <v>10</v>
      </c>
      <c r="B15" s="47"/>
      <c r="C15" s="52">
        <f>C10+C11-C14</f>
        <v>193516.8</v>
      </c>
      <c r="D15" s="50"/>
      <c r="E15" s="50">
        <v>0</v>
      </c>
      <c r="F15" s="50"/>
      <c r="G15" s="52">
        <v>1433423.69</v>
      </c>
      <c r="H15" s="52"/>
    </row>
    <row r="16" spans="1:8" ht="13.5" customHeight="1">
      <c r="A16" s="39"/>
      <c r="B16" s="39"/>
      <c r="C16" s="24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/>
      <c r="B21" s="40"/>
      <c r="C21" s="20"/>
      <c r="D21" s="2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9</v>
      </c>
      <c r="B23" s="40"/>
      <c r="C23" s="40"/>
      <c r="D23" s="4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40" t="s">
        <v>27</v>
      </c>
      <c r="B25" s="40"/>
      <c r="C25" s="20"/>
      <c r="D25" s="20"/>
      <c r="E25" s="19"/>
      <c r="F25" s="19"/>
      <c r="G25" s="19"/>
      <c r="H25" s="19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10">
      <selection activeCell="C15" sqref="C15:D15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18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116</v>
      </c>
      <c r="B2" s="38"/>
      <c r="C2" s="38"/>
      <c r="D2" s="38"/>
      <c r="E2" s="38"/>
      <c r="F2" s="38"/>
      <c r="G2" s="38"/>
      <c r="H2" s="38"/>
    </row>
    <row r="3" spans="1:8" ht="15" customHeight="1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52">
        <v>-335927.68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f>223233.12</f>
        <v>223233.12</v>
      </c>
      <c r="D11" s="50"/>
      <c r="E11" s="52">
        <f>288942.36+274218.9+44974.44+46191.66</f>
        <v>654327.36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843105.31-E11</f>
        <v>188777.95000000007</v>
      </c>
      <c r="D12" s="50"/>
      <c r="E12" s="52">
        <f>E11</f>
        <v>654327.36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310117.49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369880.9</v>
      </c>
      <c r="D14" s="50"/>
      <c r="E14" s="52">
        <f>E11</f>
        <v>654327.36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-482575.46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/>
      <c r="B21" s="40"/>
      <c r="C21" s="20"/>
      <c r="D21" s="2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9</v>
      </c>
      <c r="B23" s="40"/>
      <c r="C23" s="40"/>
      <c r="D23" s="4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40" t="s">
        <v>27</v>
      </c>
      <c r="B25" s="40"/>
      <c r="C25" s="20"/>
      <c r="D25" s="20"/>
      <c r="E25" s="19"/>
      <c r="F25" s="19"/>
      <c r="G25" s="19"/>
      <c r="H25" s="19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SheetLayoutView="90" zoomScalePageLayoutView="0" workbookViewId="0" topLeftCell="A10">
      <selection activeCell="A18" sqref="A18:B18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19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117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.75" customHeight="1">
      <c r="A10" s="41" t="s">
        <v>22</v>
      </c>
      <c r="B10" s="42"/>
      <c r="C10" s="52">
        <v>175922.46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169046.47</v>
      </c>
      <c r="D11" s="50"/>
      <c r="E11" s="52">
        <f>207720.42+210029.88+31772.22+39716.46</f>
        <v>489238.98000000004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641730.07-E11</f>
        <v>152491.0899999999</v>
      </c>
      <c r="D12" s="50"/>
      <c r="E12" s="52">
        <f>E11</f>
        <v>489238.98000000004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254132.51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349859.08</v>
      </c>
      <c r="D14" s="50"/>
      <c r="E14" s="52">
        <f>E11</f>
        <v>489238.98000000004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-4890.150000000023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/>
      <c r="B21" s="40"/>
      <c r="C21" s="20"/>
      <c r="D21" s="2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9</v>
      </c>
      <c r="B23" s="40"/>
      <c r="C23" s="40"/>
      <c r="D23" s="4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40" t="s">
        <v>27</v>
      </c>
      <c r="B25" s="40"/>
      <c r="C25" s="20"/>
      <c r="D25" s="20"/>
      <c r="E25" s="19"/>
      <c r="F25" s="19"/>
      <c r="G25" s="19"/>
      <c r="H25" s="19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C12" sqref="C12:F12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146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34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147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15.75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45.75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52">
        <v>95118.33</v>
      </c>
      <c r="D10" s="50"/>
      <c r="E10" s="45"/>
      <c r="F10" s="46"/>
      <c r="G10" s="45">
        <v>0</v>
      </c>
      <c r="H10" s="46"/>
    </row>
    <row r="11" spans="1:8" ht="15.75">
      <c r="A11" s="47" t="s">
        <v>3</v>
      </c>
      <c r="B11" s="47"/>
      <c r="C11" s="52">
        <f>89343.12-1610.26</f>
        <v>87732.86</v>
      </c>
      <c r="D11" s="50"/>
      <c r="E11" s="52">
        <f>-2305.43+169517.52-353.47+33315.24</f>
        <v>200173.86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276473.99-E11</f>
        <v>76300.13</v>
      </c>
      <c r="D12" s="50"/>
      <c r="E12" s="52">
        <f>E11</f>
        <v>200173.86</v>
      </c>
      <c r="F12" s="50"/>
      <c r="G12" s="50">
        <v>0</v>
      </c>
      <c r="H12" s="50"/>
    </row>
    <row r="13" spans="1:8" ht="48" customHeight="1">
      <c r="A13" s="41" t="s">
        <v>140</v>
      </c>
      <c r="B13" s="42"/>
      <c r="C13" s="52">
        <v>120267.08</v>
      </c>
      <c r="D13" s="50"/>
      <c r="E13" s="50">
        <v>0</v>
      </c>
      <c r="F13" s="50"/>
      <c r="G13" s="50">
        <v>0</v>
      </c>
      <c r="H13" s="50"/>
    </row>
    <row r="14" spans="1:8" ht="33.75" customHeight="1">
      <c r="A14" s="47" t="s">
        <v>5</v>
      </c>
      <c r="B14" s="47"/>
      <c r="C14" s="52">
        <v>129068</v>
      </c>
      <c r="D14" s="50"/>
      <c r="E14" s="52">
        <f>E12</f>
        <v>200173.86</v>
      </c>
      <c r="F14" s="50"/>
      <c r="G14" s="50">
        <v>0</v>
      </c>
      <c r="H14" s="50"/>
    </row>
    <row r="15" spans="1:8" ht="93" customHeight="1">
      <c r="A15" s="47" t="s">
        <v>10</v>
      </c>
      <c r="B15" s="47"/>
      <c r="C15" s="52">
        <f>C10+C11-C14</f>
        <v>53783.19</v>
      </c>
      <c r="D15" s="50"/>
      <c r="E15" s="50">
        <v>0</v>
      </c>
      <c r="F15" s="50"/>
      <c r="G15" s="50">
        <v>0</v>
      </c>
      <c r="H15" s="50"/>
    </row>
    <row r="16" spans="1:8" ht="15.75">
      <c r="A16" s="39"/>
      <c r="B16" s="39"/>
      <c r="C16" s="26"/>
      <c r="D16" s="26"/>
      <c r="E16" s="26"/>
      <c r="F16" s="26"/>
      <c r="G16" s="26"/>
      <c r="H16" s="26"/>
    </row>
    <row r="17" spans="1:8" ht="15.75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7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/>
      <c r="B21" s="40"/>
      <c r="C21" s="27"/>
      <c r="D21" s="27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9</v>
      </c>
      <c r="B23" s="40"/>
      <c r="C23" s="40"/>
      <c r="D23" s="40"/>
      <c r="E23" s="26"/>
      <c r="F23" s="26"/>
      <c r="G23" s="26"/>
      <c r="H23" s="26"/>
    </row>
    <row r="24" spans="1:8" ht="15.75">
      <c r="A24" s="27"/>
      <c r="B24" s="27"/>
      <c r="C24" s="27"/>
      <c r="D24" s="27"/>
      <c r="E24" s="26"/>
      <c r="F24" s="26"/>
      <c r="G24" s="26"/>
      <c r="H24" s="26"/>
    </row>
    <row r="25" spans="1:8" ht="15.75">
      <c r="A25" s="40" t="s">
        <v>27</v>
      </c>
      <c r="B25" s="40"/>
      <c r="C25" s="27"/>
      <c r="D25" s="27"/>
      <c r="E25" s="26"/>
      <c r="F25" s="26"/>
      <c r="G25" s="26"/>
      <c r="H25" s="26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"/>
  <sheetViews>
    <sheetView view="pageBreakPreview" zoomScale="90" zoomScaleSheetLayoutView="90" zoomScalePageLayoutView="0" workbookViewId="0" topLeftCell="A10">
      <selection activeCell="N13" sqref="N13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20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118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52">
        <v>-192079.05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82543.41</v>
      </c>
      <c r="D11" s="50"/>
      <c r="E11" s="52">
        <f>106078.65+109916.1</f>
        <v>215994.75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298902-E11</f>
        <v>82907.25</v>
      </c>
      <c r="D12" s="50"/>
      <c r="E12" s="52">
        <f>E11</f>
        <v>215994.75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47384.03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30278.15</v>
      </c>
      <c r="D14" s="50"/>
      <c r="E14" s="52">
        <f>E11</f>
        <v>215994.75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-139813.78999999998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20"/>
      <c r="F18" s="20"/>
      <c r="G18" s="19"/>
      <c r="H18" s="19"/>
    </row>
    <row r="19" spans="1:8" ht="15.75">
      <c r="A19" s="20"/>
      <c r="B19" s="20"/>
      <c r="C19" s="20"/>
      <c r="D19" s="20"/>
      <c r="E19" s="20"/>
      <c r="F19" s="20"/>
      <c r="G19" s="19"/>
      <c r="H19" s="19"/>
    </row>
    <row r="20" spans="1:8" ht="15.75">
      <c r="A20" s="20"/>
      <c r="B20" s="20"/>
      <c r="C20" s="20"/>
      <c r="D20" s="20"/>
      <c r="E20" s="20"/>
      <c r="F20" s="20"/>
      <c r="G20" s="19"/>
      <c r="H20" s="19"/>
    </row>
    <row r="21" spans="1:8" ht="15.75">
      <c r="A21" s="40"/>
      <c r="B21" s="40"/>
      <c r="C21" s="20"/>
      <c r="D21" s="20"/>
      <c r="E21" s="20"/>
      <c r="F21" s="20"/>
      <c r="G21" s="19"/>
      <c r="H21" s="19"/>
    </row>
    <row r="22" spans="1:8" ht="15.75">
      <c r="A22" s="20"/>
      <c r="B22" s="20"/>
      <c r="C22" s="20"/>
      <c r="D22" s="20"/>
      <c r="E22" s="20"/>
      <c r="F22" s="20"/>
      <c r="G22" s="19"/>
      <c r="H22" s="19"/>
    </row>
    <row r="23" spans="1:8" ht="15.75">
      <c r="A23" s="40" t="s">
        <v>9</v>
      </c>
      <c r="B23" s="40"/>
      <c r="C23" s="40"/>
      <c r="D23" s="40"/>
      <c r="E23" s="20"/>
      <c r="F23" s="20"/>
      <c r="G23" s="19"/>
      <c r="H23" s="19"/>
    </row>
    <row r="24" spans="1:8" ht="15.75">
      <c r="A24" s="20"/>
      <c r="B24" s="20"/>
      <c r="C24" s="20"/>
      <c r="D24" s="20"/>
      <c r="E24" s="20"/>
      <c r="F24" s="20"/>
      <c r="G24" s="19"/>
      <c r="H24" s="19"/>
    </row>
    <row r="25" spans="1:8" ht="15.75">
      <c r="A25" s="40" t="s">
        <v>27</v>
      </c>
      <c r="B25" s="40"/>
      <c r="C25" s="20"/>
      <c r="D25" s="20"/>
      <c r="E25" s="20"/>
      <c r="F25" s="20"/>
      <c r="G25" s="19"/>
      <c r="H25" s="19"/>
    </row>
    <row r="26" spans="1:8" ht="15.75">
      <c r="A26" s="20"/>
      <c r="B26" s="20"/>
      <c r="C26" s="20"/>
      <c r="D26" s="20"/>
      <c r="E26" s="20"/>
      <c r="F26" s="20"/>
      <c r="G26" s="19"/>
      <c r="H26" s="19"/>
    </row>
    <row r="27" spans="1:8" ht="15.75">
      <c r="A27" s="20"/>
      <c r="B27" s="20"/>
      <c r="C27" s="20"/>
      <c r="D27" s="20"/>
      <c r="E27" s="20"/>
      <c r="F27" s="20"/>
      <c r="G27" s="19"/>
      <c r="H27" s="19"/>
    </row>
    <row r="28" spans="1:8" ht="15.75">
      <c r="A28" s="20"/>
      <c r="B28" s="40" t="s">
        <v>72</v>
      </c>
      <c r="C28" s="40"/>
      <c r="D28" s="40"/>
      <c r="E28" s="40"/>
      <c r="F28" s="40"/>
      <c r="G28" s="38" t="s">
        <v>73</v>
      </c>
      <c r="H28" s="38"/>
    </row>
    <row r="29" spans="1:8" ht="15.75">
      <c r="A29" s="20"/>
      <c r="B29" s="20"/>
      <c r="C29" s="20"/>
      <c r="D29" s="20"/>
      <c r="E29" s="20"/>
      <c r="F29" s="20"/>
      <c r="G29" s="19"/>
      <c r="H29" s="19"/>
    </row>
    <row r="30" spans="1:8" ht="15.75">
      <c r="A30" s="20"/>
      <c r="B30" s="20"/>
      <c r="C30" s="20"/>
      <c r="D30" s="20"/>
      <c r="E30" s="20"/>
      <c r="F30" s="20"/>
      <c r="G30" s="19"/>
      <c r="H30" s="19"/>
    </row>
    <row r="31" spans="1:8" ht="15.75">
      <c r="A31" s="20"/>
      <c r="B31" s="20" t="s">
        <v>74</v>
      </c>
      <c r="C31" s="40" t="s">
        <v>75</v>
      </c>
      <c r="D31" s="40"/>
      <c r="E31" s="40"/>
      <c r="F31" s="20"/>
      <c r="G31" s="19"/>
      <c r="H31" s="19"/>
    </row>
    <row r="32" spans="1:6" ht="12.75">
      <c r="A32" s="22"/>
      <c r="B32" s="22"/>
      <c r="C32" s="22"/>
      <c r="D32" s="22"/>
      <c r="E32" s="22"/>
      <c r="F32" s="22"/>
    </row>
  </sheetData>
  <sheetProtection/>
  <mergeCells count="42">
    <mergeCell ref="C31:E31"/>
    <mergeCell ref="A16:B16"/>
    <mergeCell ref="A17:B17"/>
    <mergeCell ref="A18:B18"/>
    <mergeCell ref="A21:B21"/>
    <mergeCell ref="A23:D23"/>
    <mergeCell ref="A25:B25"/>
    <mergeCell ref="A15:B15"/>
    <mergeCell ref="C15:D15"/>
    <mergeCell ref="E15:F15"/>
    <mergeCell ref="G15:H15"/>
    <mergeCell ref="B28:F28"/>
    <mergeCell ref="G28:H28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1:H1"/>
    <mergeCell ref="A2:H2"/>
    <mergeCell ref="A5:H5"/>
    <mergeCell ref="A7:H7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"/>
  <sheetViews>
    <sheetView view="pageBreakPreview" zoomScale="90" zoomScaleSheetLayoutView="90" zoomScalePageLayoutView="0" workbookViewId="0" topLeftCell="A7">
      <selection activeCell="C15" sqref="C15:D15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76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119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52">
        <v>417724.99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274819.33</v>
      </c>
      <c r="D11" s="50"/>
      <c r="E11" s="52">
        <f>229822.16+243187.74</f>
        <v>473009.9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755244.68-E11</f>
        <v>282234.78</v>
      </c>
      <c r="D12" s="50"/>
      <c r="E12" s="52">
        <f>E11</f>
        <v>473009.9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272138.27</v>
      </c>
      <c r="D13" s="50"/>
      <c r="E13" s="52" t="s">
        <v>50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531880.65</v>
      </c>
      <c r="D14" s="50"/>
      <c r="E14" s="52">
        <f>E11</f>
        <v>473009.9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160663.67000000004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/>
      <c r="B21" s="40"/>
      <c r="C21" s="20"/>
      <c r="D21" s="2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9</v>
      </c>
      <c r="B23" s="40"/>
      <c r="C23" s="40"/>
      <c r="D23" s="4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40" t="s">
        <v>77</v>
      </c>
      <c r="B25" s="40"/>
      <c r="C25" s="20"/>
      <c r="D25" s="20"/>
      <c r="E25" s="19"/>
      <c r="F25" s="19"/>
      <c r="G25" s="19"/>
      <c r="H25" s="19"/>
    </row>
    <row r="26" spans="1:8" ht="15.75">
      <c r="A26" s="20"/>
      <c r="B26" s="20"/>
      <c r="C26" s="20"/>
      <c r="D26" s="20"/>
      <c r="E26" s="19"/>
      <c r="F26" s="19"/>
      <c r="G26" s="19"/>
      <c r="H26" s="19"/>
    </row>
    <row r="27" spans="1:8" ht="15.75">
      <c r="A27" s="20"/>
      <c r="B27" s="20"/>
      <c r="C27" s="20"/>
      <c r="D27" s="20"/>
      <c r="E27" s="19"/>
      <c r="F27" s="19"/>
      <c r="G27" s="19"/>
      <c r="H27" s="19"/>
    </row>
    <row r="28" spans="1:8" ht="15.75">
      <c r="A28" s="20"/>
      <c r="B28" s="20"/>
      <c r="C28" s="20"/>
      <c r="D28" s="20"/>
      <c r="E28" s="19"/>
      <c r="F28" s="19"/>
      <c r="G28" s="19"/>
      <c r="H28" s="19"/>
    </row>
    <row r="29" spans="1:8" ht="15.75">
      <c r="A29" s="20"/>
      <c r="B29" s="20"/>
      <c r="C29" s="20"/>
      <c r="D29" s="20"/>
      <c r="E29" s="19"/>
      <c r="F29" s="19"/>
      <c r="G29" s="19"/>
      <c r="H29" s="19"/>
    </row>
    <row r="30" spans="1:8" ht="15.75">
      <c r="A30" s="20"/>
      <c r="B30" s="20"/>
      <c r="C30" s="20"/>
      <c r="D30" s="20"/>
      <c r="E30" s="19"/>
      <c r="F30" s="19"/>
      <c r="G30" s="19"/>
      <c r="H30" s="19"/>
    </row>
    <row r="31" spans="1:8" ht="15.75">
      <c r="A31" s="20"/>
      <c r="B31" s="20"/>
      <c r="C31" s="20"/>
      <c r="D31" s="20"/>
      <c r="E31" s="19"/>
      <c r="F31" s="19"/>
      <c r="G31" s="19"/>
      <c r="H31" s="19"/>
    </row>
    <row r="32" spans="1:8" ht="15.75">
      <c r="A32" s="40" t="s">
        <v>78</v>
      </c>
      <c r="B32" s="40"/>
      <c r="C32" s="40"/>
      <c r="D32" s="20"/>
      <c r="E32" s="19"/>
      <c r="F32" s="19"/>
      <c r="G32" s="19"/>
      <c r="H32" s="19"/>
    </row>
  </sheetData>
  <sheetProtection/>
  <mergeCells count="40">
    <mergeCell ref="A32:C32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"/>
  <sheetViews>
    <sheetView view="pageBreakPreview" zoomScale="90" zoomScaleSheetLayoutView="90" zoomScalePageLayoutView="0" workbookViewId="0" topLeftCell="A10">
      <selection activeCell="C14" sqref="C14:D14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79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132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19"/>
      <c r="B4" s="19"/>
      <c r="C4" s="19"/>
      <c r="D4" s="19"/>
      <c r="E4" s="19"/>
      <c r="F4" s="19"/>
      <c r="G4" s="19"/>
      <c r="H4" s="19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19"/>
      <c r="B6" s="19"/>
      <c r="C6" s="19"/>
      <c r="D6" s="19"/>
      <c r="E6" s="19"/>
      <c r="F6" s="19"/>
      <c r="G6" s="19"/>
      <c r="H6" s="19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19"/>
      <c r="B8" s="19"/>
      <c r="C8" s="19"/>
      <c r="D8" s="19"/>
      <c r="E8" s="19"/>
      <c r="F8" s="19"/>
      <c r="G8" s="19"/>
      <c r="H8" s="19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52">
        <v>-34719.72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0</v>
      </c>
      <c r="D11" s="50"/>
      <c r="E11" s="52">
        <f>489634.25+512245.03+90000.82+90964.8</f>
        <v>1182844.9000000001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v>0</v>
      </c>
      <c r="D12" s="50"/>
      <c r="E12" s="52">
        <f>1592843.47-423607.8</f>
        <v>1169235.67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0</v>
      </c>
      <c r="D13" s="50"/>
      <c r="E13" s="52">
        <v>847496.88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45948</v>
      </c>
      <c r="D14" s="50"/>
      <c r="E14" s="52">
        <f>E11</f>
        <v>1182844.9000000001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-80667.72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19"/>
      <c r="D16" s="19"/>
      <c r="E16" s="19"/>
      <c r="F16" s="19"/>
      <c r="G16" s="19"/>
      <c r="H16" s="19"/>
    </row>
    <row r="17" spans="1:8" ht="12.75" customHeight="1">
      <c r="A17" s="39"/>
      <c r="B17" s="39"/>
      <c r="C17" s="19"/>
      <c r="D17" s="19"/>
      <c r="E17" s="19"/>
      <c r="F17" s="19"/>
      <c r="G17" s="19"/>
      <c r="H17" s="19"/>
    </row>
    <row r="18" spans="1:8" ht="15.75">
      <c r="A18" s="40" t="s">
        <v>8</v>
      </c>
      <c r="B18" s="40"/>
      <c r="C18" s="20"/>
      <c r="D18" s="20"/>
      <c r="E18" s="19"/>
      <c r="F18" s="19"/>
      <c r="G18" s="19"/>
      <c r="H18" s="19"/>
    </row>
    <row r="19" spans="1:8" ht="15.75">
      <c r="A19" s="20"/>
      <c r="B19" s="20"/>
      <c r="C19" s="20"/>
      <c r="D19" s="20"/>
      <c r="E19" s="19"/>
      <c r="F19" s="19"/>
      <c r="G19" s="19"/>
      <c r="H19" s="19"/>
    </row>
    <row r="20" spans="1:8" ht="15.75">
      <c r="A20" s="20"/>
      <c r="B20" s="20"/>
      <c r="C20" s="20"/>
      <c r="D20" s="20"/>
      <c r="E20" s="19"/>
      <c r="F20" s="19"/>
      <c r="G20" s="19"/>
      <c r="H20" s="19"/>
    </row>
    <row r="21" spans="1:8" ht="15.75">
      <c r="A21" s="40"/>
      <c r="B21" s="40"/>
      <c r="C21" s="20"/>
      <c r="D21" s="20"/>
      <c r="E21" s="19"/>
      <c r="F21" s="19"/>
      <c r="G21" s="19"/>
      <c r="H21" s="19"/>
    </row>
    <row r="22" spans="1:8" ht="15.75">
      <c r="A22" s="20"/>
      <c r="B22" s="20"/>
      <c r="C22" s="20"/>
      <c r="D22" s="20"/>
      <c r="E22" s="19"/>
      <c r="F22" s="19"/>
      <c r="G22" s="19"/>
      <c r="H22" s="19"/>
    </row>
    <row r="23" spans="1:8" ht="15.75">
      <c r="A23" s="40" t="s">
        <v>9</v>
      </c>
      <c r="B23" s="40"/>
      <c r="C23" s="40"/>
      <c r="D23" s="40"/>
      <c r="E23" s="19"/>
      <c r="F23" s="19"/>
      <c r="G23" s="19"/>
      <c r="H23" s="19"/>
    </row>
    <row r="24" spans="1:8" ht="15.75">
      <c r="A24" s="20"/>
      <c r="B24" s="20"/>
      <c r="C24" s="20"/>
      <c r="D24" s="20"/>
      <c r="E24" s="19"/>
      <c r="F24" s="19"/>
      <c r="G24" s="19"/>
      <c r="H24" s="19"/>
    </row>
    <row r="25" spans="1:8" ht="15.75">
      <c r="A25" s="40" t="s">
        <v>77</v>
      </c>
      <c r="B25" s="40"/>
      <c r="C25" s="20"/>
      <c r="D25" s="20"/>
      <c r="E25" s="19"/>
      <c r="F25" s="19"/>
      <c r="G25" s="19"/>
      <c r="H25" s="19"/>
    </row>
    <row r="26" spans="1:8" ht="15.7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9"/>
      <c r="B27" s="19"/>
      <c r="C27" s="19"/>
      <c r="D27" s="19"/>
      <c r="E27" s="19"/>
      <c r="F27" s="19"/>
      <c r="G27" s="19"/>
      <c r="H27" s="19"/>
    </row>
    <row r="28" spans="1:8" ht="15.75">
      <c r="A28" s="19"/>
      <c r="B28" s="19"/>
      <c r="C28" s="19"/>
      <c r="D28" s="19"/>
      <c r="E28" s="19"/>
      <c r="F28" s="19"/>
      <c r="G28" s="19"/>
      <c r="H28" s="19"/>
    </row>
    <row r="29" spans="1:8" ht="15.75">
      <c r="A29" s="19"/>
      <c r="B29" s="19"/>
      <c r="C29" s="19"/>
      <c r="D29" s="19"/>
      <c r="E29" s="19"/>
      <c r="F29" s="19"/>
      <c r="G29" s="19"/>
      <c r="H29" s="19"/>
    </row>
    <row r="30" spans="1:8" ht="15.75">
      <c r="A30" s="19"/>
      <c r="B30" s="19"/>
      <c r="C30" s="19"/>
      <c r="D30" s="19"/>
      <c r="E30" s="19"/>
      <c r="F30" s="19"/>
      <c r="G30" s="19"/>
      <c r="H30" s="19"/>
    </row>
    <row r="31" spans="1:8" ht="15.75">
      <c r="A31" s="19"/>
      <c r="B31" s="19"/>
      <c r="C31" s="19"/>
      <c r="D31" s="19"/>
      <c r="E31" s="19"/>
      <c r="F31" s="19"/>
      <c r="G31" s="19"/>
      <c r="H31" s="19"/>
    </row>
    <row r="32" spans="1:8" ht="15.75">
      <c r="A32" s="38" t="s">
        <v>78</v>
      </c>
      <c r="B32" s="38"/>
      <c r="C32" s="38"/>
      <c r="D32" s="19"/>
      <c r="E32" s="19"/>
      <c r="F32" s="19"/>
      <c r="G32" s="19"/>
      <c r="H32" s="19"/>
    </row>
  </sheetData>
  <sheetProtection/>
  <mergeCells count="40">
    <mergeCell ref="A32:C32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view="pageBreakPreview" zoomScale="90" zoomScaleSheetLayoutView="90" zoomScalePageLayoutView="0" workbookViewId="0" topLeftCell="A8">
      <selection activeCell="C15" sqref="C15:D15"/>
    </sheetView>
  </sheetViews>
  <sheetFormatPr defaultColWidth="9.140625" defaultRowHeight="12.75"/>
  <cols>
    <col min="1" max="2" width="12.7109375" style="0" customWidth="1"/>
    <col min="9" max="9" width="11.00390625" style="0" bestFit="1" customWidth="1"/>
  </cols>
  <sheetData>
    <row r="1" spans="1:8" ht="15.75">
      <c r="A1" s="37" t="s">
        <v>80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133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30" customHeight="1">
      <c r="A10" s="41" t="s">
        <v>22</v>
      </c>
      <c r="B10" s="42"/>
      <c r="C10" s="52">
        <v>217.47</v>
      </c>
      <c r="D10" s="50"/>
      <c r="E10" s="45">
        <v>0</v>
      </c>
      <c r="F10" s="46"/>
      <c r="G10" s="43">
        <v>856518.09</v>
      </c>
      <c r="H10" s="44"/>
    </row>
    <row r="11" spans="1:8" ht="15.75">
      <c r="A11" s="47" t="s">
        <v>3</v>
      </c>
      <c r="B11" s="47"/>
      <c r="C11" s="52">
        <v>0</v>
      </c>
      <c r="D11" s="50"/>
      <c r="E11" s="52">
        <f>308705.71+320965.56+56744.35+56997.12</f>
        <v>743412.74</v>
      </c>
      <c r="F11" s="50"/>
      <c r="G11" s="52">
        <v>572264.88</v>
      </c>
      <c r="H11" s="52"/>
    </row>
    <row r="12" spans="1:8" ht="15.75">
      <c r="A12" s="47" t="s">
        <v>4</v>
      </c>
      <c r="B12" s="47"/>
      <c r="C12" s="52">
        <v>0</v>
      </c>
      <c r="D12" s="50"/>
      <c r="E12" s="52">
        <f>995575.86-265814.29</f>
        <v>729761.5700000001</v>
      </c>
      <c r="F12" s="50"/>
      <c r="G12" s="52">
        <v>28942.64</v>
      </c>
      <c r="H12" s="52"/>
    </row>
    <row r="13" spans="1:8" ht="47.25" customHeight="1">
      <c r="A13" s="41" t="s">
        <v>140</v>
      </c>
      <c r="B13" s="42"/>
      <c r="C13" s="52">
        <v>0</v>
      </c>
      <c r="D13" s="50"/>
      <c r="E13" s="52">
        <f>573464.08-G13</f>
        <v>609459.76</v>
      </c>
      <c r="F13" s="50"/>
      <c r="G13" s="52">
        <v>-35995.68</v>
      </c>
      <c r="H13" s="52"/>
    </row>
    <row r="14" spans="1:8" ht="33" customHeight="1">
      <c r="A14" s="47" t="s">
        <v>5</v>
      </c>
      <c r="B14" s="47"/>
      <c r="C14" s="52">
        <v>85686.25</v>
      </c>
      <c r="D14" s="50"/>
      <c r="E14" s="52">
        <f>E11</f>
        <v>743412.74</v>
      </c>
      <c r="F14" s="50"/>
      <c r="G14" s="52">
        <v>0</v>
      </c>
      <c r="H14" s="52"/>
    </row>
    <row r="15" spans="1:9" ht="92.25" customHeight="1">
      <c r="A15" s="47" t="s">
        <v>10</v>
      </c>
      <c r="B15" s="47"/>
      <c r="C15" s="52">
        <f>C10+C11-C14</f>
        <v>-85468.78</v>
      </c>
      <c r="D15" s="50"/>
      <c r="E15" s="50">
        <v>0</v>
      </c>
      <c r="F15" s="50"/>
      <c r="G15" s="52">
        <v>901805.81</v>
      </c>
      <c r="H15" s="52"/>
      <c r="I15" s="36"/>
    </row>
    <row r="16" spans="1:8" ht="13.5" customHeight="1">
      <c r="A16" s="39"/>
      <c r="B16" s="39"/>
      <c r="C16" s="26"/>
      <c r="D16" s="26"/>
      <c r="E16" s="26"/>
      <c r="F16" s="26"/>
      <c r="G16" s="26"/>
      <c r="H16" s="26"/>
    </row>
    <row r="17" spans="1:8" ht="12.75" customHeight="1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7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/>
      <c r="B21" s="40"/>
      <c r="C21" s="27"/>
      <c r="D21" s="27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9</v>
      </c>
      <c r="B23" s="40"/>
      <c r="C23" s="40"/>
      <c r="D23" s="40"/>
      <c r="E23" s="26"/>
      <c r="F23" s="26"/>
      <c r="G23" s="26"/>
      <c r="H23" s="26"/>
    </row>
    <row r="24" spans="1:8" ht="15.75">
      <c r="A24" s="27"/>
      <c r="B24" s="27"/>
      <c r="C24" s="27"/>
      <c r="D24" s="27"/>
      <c r="E24" s="26"/>
      <c r="F24" s="26"/>
      <c r="G24" s="26"/>
      <c r="H24" s="26"/>
    </row>
    <row r="25" spans="1:8" ht="15.75">
      <c r="A25" s="40" t="s">
        <v>77</v>
      </c>
      <c r="B25" s="40"/>
      <c r="C25" s="27"/>
      <c r="D25" s="27"/>
      <c r="E25" s="26"/>
      <c r="F25" s="26"/>
      <c r="G25" s="26"/>
      <c r="H25" s="26"/>
    </row>
    <row r="26" spans="1:8" ht="15.75">
      <c r="A26" s="26"/>
      <c r="B26" s="26"/>
      <c r="C26" s="26"/>
      <c r="D26" s="26"/>
      <c r="E26" s="26"/>
      <c r="F26" s="26"/>
      <c r="G26" s="26"/>
      <c r="H26" s="26"/>
    </row>
    <row r="27" spans="1:8" ht="15.75">
      <c r="A27" s="26"/>
      <c r="B27" s="26"/>
      <c r="C27" s="26"/>
      <c r="D27" s="26"/>
      <c r="E27" s="26"/>
      <c r="F27" s="26"/>
      <c r="G27" s="26"/>
      <c r="H27" s="26"/>
    </row>
    <row r="28" spans="1:8" ht="15.75">
      <c r="A28" s="26"/>
      <c r="B28" s="26"/>
      <c r="C28" s="26"/>
      <c r="D28" s="26"/>
      <c r="E28" s="26"/>
      <c r="F28" s="26"/>
      <c r="G28" s="26"/>
      <c r="H28" s="26"/>
    </row>
    <row r="29" spans="1:8" ht="15.75">
      <c r="A29" s="26"/>
      <c r="B29" s="26"/>
      <c r="C29" s="26"/>
      <c r="D29" s="26"/>
      <c r="E29" s="26"/>
      <c r="F29" s="26"/>
      <c r="G29" s="26"/>
      <c r="H29" s="26"/>
    </row>
    <row r="32" spans="1:3" ht="12.75">
      <c r="A32" s="76"/>
      <c r="B32" s="76"/>
      <c r="C32" s="76"/>
    </row>
  </sheetData>
  <sheetProtection/>
  <mergeCells count="40">
    <mergeCell ref="A32:C32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G13:H13"/>
    <mergeCell ref="E13:F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4"/>
  <sheetViews>
    <sheetView view="pageBreakPreview" zoomScale="90" zoomScaleSheetLayoutView="90" zoomScalePageLayoutView="0" workbookViewId="0" topLeftCell="A7">
      <selection activeCell="C16" sqref="C16"/>
    </sheetView>
  </sheetViews>
  <sheetFormatPr defaultColWidth="9.140625" defaultRowHeight="12.75"/>
  <cols>
    <col min="1" max="2" width="12.7109375" style="0" customWidth="1"/>
  </cols>
  <sheetData>
    <row r="1" spans="1:8" ht="15.75">
      <c r="A1" s="62" t="s">
        <v>11</v>
      </c>
      <c r="B1" s="62"/>
      <c r="C1" s="62"/>
      <c r="D1" s="62"/>
      <c r="E1" s="62"/>
      <c r="F1" s="62"/>
      <c r="G1" s="62"/>
      <c r="H1" s="62"/>
    </row>
    <row r="2" spans="1:8" ht="15.75">
      <c r="A2" s="63" t="s">
        <v>125</v>
      </c>
      <c r="B2" s="63"/>
      <c r="C2" s="63"/>
      <c r="D2" s="63"/>
      <c r="E2" s="63"/>
      <c r="F2" s="63"/>
      <c r="G2" s="63"/>
      <c r="H2" s="63"/>
    </row>
    <row r="3" spans="1:8" ht="15.75">
      <c r="A3" s="62" t="s">
        <v>138</v>
      </c>
      <c r="B3" s="62"/>
      <c r="C3" s="62"/>
      <c r="D3" s="62"/>
      <c r="E3" s="62"/>
      <c r="F3" s="62"/>
      <c r="G3" s="62"/>
      <c r="H3" s="62"/>
    </row>
    <row r="4" spans="1:8" ht="15.75">
      <c r="A4" s="5"/>
      <c r="B4" s="5"/>
      <c r="C4" s="5"/>
      <c r="D4" s="5"/>
      <c r="E4" s="5"/>
      <c r="F4" s="5"/>
      <c r="G4" s="5"/>
      <c r="H4" s="5"/>
    </row>
    <row r="5" spans="1:8" ht="33.75" customHeight="1">
      <c r="A5" s="39" t="s">
        <v>35</v>
      </c>
      <c r="B5" s="39"/>
      <c r="C5" s="39"/>
      <c r="D5" s="39"/>
      <c r="E5" s="39"/>
      <c r="F5" s="39"/>
      <c r="G5" s="39"/>
      <c r="H5" s="39"/>
    </row>
    <row r="6" spans="1:8" ht="15.75">
      <c r="A6" s="5"/>
      <c r="B6" s="5"/>
      <c r="C6" s="5"/>
      <c r="D6" s="5"/>
      <c r="E6" s="5"/>
      <c r="F6" s="5"/>
      <c r="G6" s="5"/>
      <c r="H6" s="5"/>
    </row>
    <row r="7" spans="1:8" ht="15.75">
      <c r="A7" s="64"/>
      <c r="B7" s="64"/>
      <c r="C7" s="64"/>
      <c r="D7" s="64"/>
      <c r="E7" s="64"/>
      <c r="F7" s="64"/>
      <c r="G7" s="64"/>
      <c r="H7" s="64"/>
    </row>
    <row r="8" spans="1:8" ht="15.75">
      <c r="A8" s="5"/>
      <c r="B8" s="5"/>
      <c r="C8" s="5"/>
      <c r="D8" s="5"/>
      <c r="E8" s="5"/>
      <c r="F8" s="5"/>
      <c r="G8" s="5"/>
      <c r="H8" s="5"/>
    </row>
    <row r="9" spans="1:8" ht="54" customHeight="1">
      <c r="A9" s="61"/>
      <c r="B9" s="61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59" t="s">
        <v>36</v>
      </c>
      <c r="B10" s="60"/>
      <c r="C10" s="52">
        <v>179927.82</v>
      </c>
      <c r="D10" s="50"/>
      <c r="E10" s="45">
        <v>0</v>
      </c>
      <c r="F10" s="46"/>
      <c r="G10" s="45">
        <v>0</v>
      </c>
      <c r="H10" s="46"/>
    </row>
    <row r="11" spans="1:8" ht="15.75">
      <c r="A11" s="58" t="s">
        <v>37</v>
      </c>
      <c r="B11" s="58"/>
      <c r="C11" s="48">
        <v>147395.28</v>
      </c>
      <c r="D11" s="49"/>
      <c r="E11" s="48">
        <f>179909.16+189012.84+2400.48+69600+1200+2400.48</f>
        <v>444522.95999999996</v>
      </c>
      <c r="F11" s="49"/>
      <c r="G11" s="50">
        <v>0</v>
      </c>
      <c r="H11" s="50"/>
    </row>
    <row r="12" spans="1:8" ht="15.75">
      <c r="A12" s="58" t="s">
        <v>4</v>
      </c>
      <c r="B12" s="58"/>
      <c r="C12" s="52">
        <f>584432.24-E11</f>
        <v>139909.28000000003</v>
      </c>
      <c r="D12" s="50"/>
      <c r="E12" s="52">
        <f>E11</f>
        <v>444522.95999999996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43">
        <v>329457.53</v>
      </c>
      <c r="D13" s="46"/>
      <c r="E13" s="50">
        <v>0</v>
      </c>
      <c r="F13" s="50"/>
      <c r="G13" s="50">
        <v>0</v>
      </c>
      <c r="H13" s="50"/>
    </row>
    <row r="14" spans="1:8" ht="33" customHeight="1">
      <c r="A14" s="58" t="s">
        <v>38</v>
      </c>
      <c r="B14" s="58"/>
      <c r="C14" s="52">
        <v>26028</v>
      </c>
      <c r="D14" s="50"/>
      <c r="E14" s="52">
        <f>E12</f>
        <v>444522.95999999996</v>
      </c>
      <c r="F14" s="50"/>
      <c r="G14" s="50">
        <v>0</v>
      </c>
      <c r="H14" s="50"/>
    </row>
    <row r="15" spans="1:8" ht="92.25" customHeight="1">
      <c r="A15" s="58" t="s">
        <v>10</v>
      </c>
      <c r="B15" s="58"/>
      <c r="C15" s="52">
        <f>C10+C11-C14</f>
        <v>301295.1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56"/>
      <c r="B16" s="56"/>
      <c r="C16" s="5"/>
      <c r="D16" s="5"/>
      <c r="E16" s="5"/>
      <c r="F16" s="5"/>
      <c r="G16" s="5"/>
      <c r="H16" s="5"/>
    </row>
    <row r="17" spans="1:8" ht="12.75" customHeight="1">
      <c r="A17" s="56"/>
      <c r="B17" s="56"/>
      <c r="C17" s="5"/>
      <c r="D17" s="5"/>
      <c r="E17" s="5"/>
      <c r="F17" s="5"/>
      <c r="G17" s="5"/>
      <c r="H17" s="5"/>
    </row>
    <row r="18" spans="1:8" ht="15.75">
      <c r="A18" s="57" t="s">
        <v>8</v>
      </c>
      <c r="B18" s="57"/>
      <c r="C18" s="5"/>
      <c r="D18" s="5"/>
      <c r="E18" s="5"/>
      <c r="F18" s="5"/>
      <c r="G18" s="5"/>
      <c r="H18" s="5"/>
    </row>
    <row r="19" spans="1:8" ht="15.75">
      <c r="A19" s="29"/>
      <c r="B19" s="29"/>
      <c r="C19" s="5"/>
      <c r="D19" s="5"/>
      <c r="E19" s="5"/>
      <c r="F19" s="5"/>
      <c r="G19" s="5"/>
      <c r="H19" s="5"/>
    </row>
    <row r="20" spans="1:8" ht="15.75">
      <c r="A20" s="29"/>
      <c r="B20" s="29"/>
      <c r="C20" s="5"/>
      <c r="D20" s="5"/>
      <c r="E20" s="5"/>
      <c r="F20" s="5"/>
      <c r="G20" s="5"/>
      <c r="H20" s="5"/>
    </row>
    <row r="21" spans="1:8" ht="15.75">
      <c r="A21" s="29"/>
      <c r="B21" s="29"/>
      <c r="C21" s="5"/>
      <c r="D21" s="5"/>
      <c r="E21" s="5"/>
      <c r="F21" s="5"/>
      <c r="G21" s="5"/>
      <c r="H21" s="5"/>
    </row>
    <row r="22" spans="1:8" ht="15.75">
      <c r="A22" s="57" t="s">
        <v>9</v>
      </c>
      <c r="B22" s="57"/>
      <c r="C22" s="57"/>
      <c r="D22" s="57"/>
      <c r="E22" s="5"/>
      <c r="F22" s="5"/>
      <c r="G22" s="5"/>
      <c r="H22" s="5"/>
    </row>
    <row r="23" spans="1:8" ht="15.75">
      <c r="A23" s="29"/>
      <c r="B23" s="29"/>
      <c r="C23" s="5"/>
      <c r="D23" s="5"/>
      <c r="E23" s="5"/>
      <c r="F23" s="5"/>
      <c r="G23" s="5"/>
      <c r="H23" s="5"/>
    </row>
    <row r="24" spans="1:8" ht="15.75">
      <c r="A24" s="57" t="s">
        <v>27</v>
      </c>
      <c r="B24" s="57"/>
      <c r="C24" s="5"/>
      <c r="D24" s="5"/>
      <c r="E24" s="5"/>
      <c r="F24" s="5"/>
      <c r="G24" s="5"/>
      <c r="H24" s="5"/>
    </row>
  </sheetData>
  <sheetProtection/>
  <mergeCells count="38">
    <mergeCell ref="A17:B17"/>
    <mergeCell ref="A18:B18"/>
    <mergeCell ref="A22:D22"/>
    <mergeCell ref="A24:B24"/>
    <mergeCell ref="A14:B14"/>
    <mergeCell ref="C14:D14"/>
    <mergeCell ref="A15:B15"/>
    <mergeCell ref="C15:D15"/>
    <mergeCell ref="E15:F15"/>
    <mergeCell ref="G15:H15"/>
    <mergeCell ref="A16:B16"/>
    <mergeCell ref="A13:B13"/>
    <mergeCell ref="C13:D13"/>
    <mergeCell ref="E13:F13"/>
    <mergeCell ref="G13:H13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1:H1"/>
    <mergeCell ref="A2:H2"/>
    <mergeCell ref="A3:H3"/>
    <mergeCell ref="A5:H5"/>
    <mergeCell ref="A7:H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G16" sqref="G15:H16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12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39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9.25" customHeight="1">
      <c r="A10" s="41" t="s">
        <v>22</v>
      </c>
      <c r="B10" s="42"/>
      <c r="C10" s="52">
        <v>-95652.9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37695.24</v>
      </c>
      <c r="D11" s="50"/>
      <c r="E11" s="52">
        <f>38062.14+40079.76</f>
        <v>78141.9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113684.34-E11</f>
        <v>35542.44</v>
      </c>
      <c r="D12" s="50"/>
      <c r="E12" s="52">
        <f>E11</f>
        <v>78141.9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79470.09</v>
      </c>
      <c r="D13" s="50"/>
      <c r="E13" s="52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14655</v>
      </c>
      <c r="D14" s="50"/>
      <c r="E14" s="52">
        <f>E12</f>
        <v>78141.9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-72612.66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6"/>
      <c r="D16" s="26"/>
      <c r="E16" s="26"/>
      <c r="F16" s="26"/>
      <c r="G16" s="26"/>
      <c r="H16" s="26"/>
    </row>
    <row r="17" spans="1:8" ht="12.75" customHeight="1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7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/>
      <c r="B21" s="40"/>
      <c r="C21" s="27"/>
      <c r="D21" s="27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9</v>
      </c>
      <c r="B23" s="40"/>
      <c r="C23" s="40"/>
      <c r="D23" s="40"/>
      <c r="E23" s="26"/>
      <c r="F23" s="26"/>
      <c r="G23" s="26"/>
      <c r="H23" s="26"/>
    </row>
    <row r="24" spans="1:8" ht="15.75">
      <c r="A24" s="27"/>
      <c r="B24" s="27"/>
      <c r="C24" s="27"/>
      <c r="D24" s="27"/>
      <c r="E24" s="26"/>
      <c r="F24" s="26"/>
      <c r="G24" s="26"/>
      <c r="H24" s="26"/>
    </row>
    <row r="25" spans="1:8" ht="15.75">
      <c r="A25" s="40" t="s">
        <v>27</v>
      </c>
      <c r="B25" s="40"/>
      <c r="C25" s="27"/>
      <c r="D25" s="27"/>
      <c r="E25" s="26"/>
      <c r="F25" s="26"/>
      <c r="G25" s="26"/>
      <c r="H25" s="26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C12" sqref="C12:D12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13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126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52">
        <v>-42444.42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8154.54</v>
      </c>
      <c r="D11" s="50"/>
      <c r="E11" s="52">
        <f>66233.28+65588.94</f>
        <v>131822.22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137138.89-E11</f>
        <v>5316.670000000013</v>
      </c>
      <c r="D12" s="50"/>
      <c r="E12" s="52">
        <v>131822.22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37351.01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1776</v>
      </c>
      <c r="D14" s="50"/>
      <c r="E14" s="52">
        <f>E11</f>
        <v>131822.22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-36065.88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6"/>
      <c r="D16" s="26"/>
      <c r="E16" s="26"/>
      <c r="F16" s="26"/>
      <c r="G16" s="26"/>
      <c r="H16" s="26"/>
    </row>
    <row r="17" spans="1:8" ht="12.75" customHeight="1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7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/>
      <c r="B21" s="40"/>
      <c r="C21" s="27"/>
      <c r="D21" s="27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9</v>
      </c>
      <c r="B23" s="40"/>
      <c r="C23" s="40"/>
      <c r="D23" s="40"/>
      <c r="E23" s="26"/>
      <c r="F23" s="26"/>
      <c r="G23" s="26"/>
      <c r="H23" s="26"/>
    </row>
    <row r="24" spans="1:8" ht="15.75">
      <c r="A24" s="27"/>
      <c r="B24" s="27"/>
      <c r="C24" s="27"/>
      <c r="D24" s="27"/>
      <c r="E24" s="26"/>
      <c r="F24" s="26"/>
      <c r="G24" s="26"/>
      <c r="H24" s="26"/>
    </row>
    <row r="25" spans="1:8" ht="15.75">
      <c r="A25" s="40" t="s">
        <v>29</v>
      </c>
      <c r="B25" s="40"/>
      <c r="C25" s="27"/>
      <c r="D25" s="27"/>
      <c r="E25" s="26"/>
      <c r="F25" s="26"/>
      <c r="G25" s="26"/>
      <c r="H25" s="26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view="pageBreakPreview" zoomScale="90" zoomScaleNormal="85" zoomScaleSheetLayoutView="90" zoomScalePageLayoutView="0" workbookViewId="0" topLeftCell="A7">
      <selection activeCell="J15" sqref="I15:J15"/>
    </sheetView>
  </sheetViews>
  <sheetFormatPr defaultColWidth="9.140625" defaultRowHeight="12.75"/>
  <cols>
    <col min="1" max="2" width="12.7109375" style="0" customWidth="1"/>
  </cols>
  <sheetData>
    <row r="1" spans="1:8" ht="15.75">
      <c r="A1" s="37" t="s">
        <v>14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127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136</v>
      </c>
      <c r="B3" s="37"/>
      <c r="C3" s="37"/>
      <c r="D3" s="37"/>
      <c r="E3" s="37"/>
      <c r="F3" s="37"/>
      <c r="G3" s="37"/>
      <c r="H3" s="37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33.7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40" t="s">
        <v>7</v>
      </c>
      <c r="B7" s="40"/>
      <c r="C7" s="40"/>
      <c r="D7" s="40"/>
      <c r="E7" s="40"/>
      <c r="F7" s="40"/>
      <c r="G7" s="40"/>
      <c r="H7" s="40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8" ht="54" customHeight="1">
      <c r="A9" s="50"/>
      <c r="B9" s="50"/>
      <c r="C9" s="51" t="s">
        <v>0</v>
      </c>
      <c r="D9" s="51"/>
      <c r="E9" s="51" t="s">
        <v>1</v>
      </c>
      <c r="F9" s="51"/>
      <c r="G9" s="51" t="s">
        <v>2</v>
      </c>
      <c r="H9" s="51"/>
    </row>
    <row r="10" spans="1:8" ht="28.5" customHeight="1">
      <c r="A10" s="41" t="s">
        <v>22</v>
      </c>
      <c r="B10" s="42"/>
      <c r="C10" s="52">
        <v>-38075.97</v>
      </c>
      <c r="D10" s="50"/>
      <c r="E10" s="45">
        <v>0</v>
      </c>
      <c r="F10" s="46"/>
      <c r="G10" s="45">
        <v>0</v>
      </c>
      <c r="H10" s="46"/>
    </row>
    <row r="11" spans="1:8" ht="15.75">
      <c r="A11" s="47" t="s">
        <v>3</v>
      </c>
      <c r="B11" s="47"/>
      <c r="C11" s="52">
        <v>13623.96</v>
      </c>
      <c r="D11" s="50"/>
      <c r="E11" s="52">
        <f>17258.34+16424.28</f>
        <v>33682.619999999995</v>
      </c>
      <c r="F11" s="50"/>
      <c r="G11" s="50">
        <v>0</v>
      </c>
      <c r="H11" s="50"/>
    </row>
    <row r="12" spans="1:8" ht="15.75">
      <c r="A12" s="47" t="s">
        <v>4</v>
      </c>
      <c r="B12" s="47"/>
      <c r="C12" s="52">
        <f>40936.28-E11</f>
        <v>7253.6600000000035</v>
      </c>
      <c r="D12" s="50"/>
      <c r="E12" s="52">
        <f>E11</f>
        <v>33682.619999999995</v>
      </c>
      <c r="F12" s="50"/>
      <c r="G12" s="50">
        <v>0</v>
      </c>
      <c r="H12" s="50"/>
    </row>
    <row r="13" spans="1:8" ht="47.25" customHeight="1">
      <c r="A13" s="41" t="s">
        <v>140</v>
      </c>
      <c r="B13" s="42"/>
      <c r="C13" s="52">
        <v>22405.91</v>
      </c>
      <c r="D13" s="50"/>
      <c r="E13" s="50">
        <v>0</v>
      </c>
      <c r="F13" s="50"/>
      <c r="G13" s="50">
        <v>0</v>
      </c>
      <c r="H13" s="50"/>
    </row>
    <row r="14" spans="1:8" ht="33" customHeight="1">
      <c r="A14" s="47" t="s">
        <v>5</v>
      </c>
      <c r="B14" s="47"/>
      <c r="C14" s="52">
        <v>0</v>
      </c>
      <c r="D14" s="50"/>
      <c r="E14" s="52">
        <f>E12</f>
        <v>33682.619999999995</v>
      </c>
      <c r="F14" s="50"/>
      <c r="G14" s="50">
        <v>0</v>
      </c>
      <c r="H14" s="50"/>
    </row>
    <row r="15" spans="1:8" ht="92.25" customHeight="1">
      <c r="A15" s="47" t="s">
        <v>10</v>
      </c>
      <c r="B15" s="47"/>
      <c r="C15" s="52">
        <f>C10+C11-C14</f>
        <v>-24452.010000000002</v>
      </c>
      <c r="D15" s="50"/>
      <c r="E15" s="50">
        <v>0</v>
      </c>
      <c r="F15" s="50"/>
      <c r="G15" s="50">
        <v>0</v>
      </c>
      <c r="H15" s="50"/>
    </row>
    <row r="16" spans="1:8" ht="13.5" customHeight="1">
      <c r="A16" s="39"/>
      <c r="B16" s="39"/>
      <c r="C16" s="26"/>
      <c r="D16" s="26"/>
      <c r="E16" s="26"/>
      <c r="F16" s="26"/>
      <c r="G16" s="26"/>
      <c r="H16" s="26"/>
    </row>
    <row r="17" spans="1:8" ht="12.75" customHeight="1">
      <c r="A17" s="39"/>
      <c r="B17" s="39"/>
      <c r="C17" s="26"/>
      <c r="D17" s="26"/>
      <c r="E17" s="26"/>
      <c r="F17" s="26"/>
      <c r="G17" s="26"/>
      <c r="H17" s="26"/>
    </row>
    <row r="18" spans="1:8" ht="15.75">
      <c r="A18" s="40" t="s">
        <v>8</v>
      </c>
      <c r="B18" s="40"/>
      <c r="C18" s="27"/>
      <c r="D18" s="27"/>
      <c r="E18" s="26"/>
      <c r="F18" s="26"/>
      <c r="G18" s="26"/>
      <c r="H18" s="26"/>
    </row>
    <row r="19" spans="1:8" ht="15.75">
      <c r="A19" s="27"/>
      <c r="B19" s="27"/>
      <c r="C19" s="27"/>
      <c r="D19" s="27"/>
      <c r="E19" s="26"/>
      <c r="F19" s="26"/>
      <c r="G19" s="26"/>
      <c r="H19" s="26"/>
    </row>
    <row r="20" spans="1:8" ht="15.75">
      <c r="A20" s="27"/>
      <c r="B20" s="27"/>
      <c r="C20" s="27"/>
      <c r="D20" s="27"/>
      <c r="E20" s="26"/>
      <c r="F20" s="26"/>
      <c r="G20" s="26"/>
      <c r="H20" s="26"/>
    </row>
    <row r="21" spans="1:8" ht="15.75">
      <c r="A21" s="40"/>
      <c r="B21" s="40"/>
      <c r="C21" s="27"/>
      <c r="D21" s="27"/>
      <c r="E21" s="26"/>
      <c r="F21" s="26"/>
      <c r="G21" s="26"/>
      <c r="H21" s="26"/>
    </row>
    <row r="22" spans="1:8" ht="15.75">
      <c r="A22" s="27"/>
      <c r="B22" s="27"/>
      <c r="C22" s="27"/>
      <c r="D22" s="27"/>
      <c r="E22" s="26"/>
      <c r="F22" s="26"/>
      <c r="G22" s="26"/>
      <c r="H22" s="26"/>
    </row>
    <row r="23" spans="1:8" ht="15.75">
      <c r="A23" s="40" t="s">
        <v>9</v>
      </c>
      <c r="B23" s="40"/>
      <c r="C23" s="40"/>
      <c r="D23" s="40"/>
      <c r="E23" s="26"/>
      <c r="F23" s="26"/>
      <c r="G23" s="26"/>
      <c r="H23" s="26"/>
    </row>
    <row r="24" spans="1:8" ht="15.75">
      <c r="A24" s="27"/>
      <c r="B24" s="27"/>
      <c r="C24" s="27"/>
      <c r="D24" s="27"/>
      <c r="E24" s="26"/>
      <c r="F24" s="26"/>
      <c r="G24" s="26"/>
      <c r="H24" s="26"/>
    </row>
    <row r="25" spans="1:8" ht="15.75">
      <c r="A25" s="40" t="s">
        <v>27</v>
      </c>
      <c r="B25" s="40"/>
      <c r="C25" s="27"/>
      <c r="D25" s="27"/>
      <c r="E25" s="26"/>
      <c r="F25" s="26"/>
      <c r="G25" s="26"/>
      <c r="H25" s="26"/>
    </row>
  </sheetData>
  <sheetProtection/>
  <mergeCells count="39">
    <mergeCell ref="A25:B25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2021-03-15T10:53:36Z</cp:lastPrinted>
  <dcterms:created xsi:type="dcterms:W3CDTF">1996-10-08T23:32:33Z</dcterms:created>
  <dcterms:modified xsi:type="dcterms:W3CDTF">2021-03-24T03:32:34Z</dcterms:modified>
  <cp:category/>
  <cp:version/>
  <cp:contentType/>
  <cp:contentStatus/>
</cp:coreProperties>
</file>