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4" activeTab="0"/>
  </bookViews>
  <sheets>
    <sheet name="косм 11" sheetId="1" r:id="rId1"/>
    <sheet name="косм 15а" sheetId="2" r:id="rId2"/>
    <sheet name="косм 20" sheetId="3" r:id="rId3"/>
    <sheet name="косм 21" sheetId="4" r:id="rId4"/>
    <sheet name="косм 22" sheetId="5" r:id="rId5"/>
    <sheet name="ленина,6б" sheetId="6" r:id="rId6"/>
    <sheet name="лен 33" sheetId="7" r:id="rId7"/>
    <sheet name="лен 34" sheetId="8" r:id="rId8"/>
    <sheet name="лен 35" sheetId="9" r:id="rId9"/>
    <sheet name="лен 36" sheetId="10" r:id="rId10"/>
    <sheet name="лен 37" sheetId="11" r:id="rId11"/>
    <sheet name="лен 39" sheetId="12" r:id="rId12"/>
    <sheet name="мира 29а" sheetId="13" r:id="rId13"/>
    <sheet name="мира 34" sheetId="14" r:id="rId14"/>
    <sheet name="мира 36а" sheetId="15" r:id="rId15"/>
    <sheet name="мира 38" sheetId="16" r:id="rId16"/>
    <sheet name="мира 38а" sheetId="17" r:id="rId17"/>
    <sheet name="моск 31" sheetId="18" r:id="rId18"/>
    <sheet name="моск 33" sheetId="19" r:id="rId19"/>
    <sheet name="павл 4" sheetId="20" r:id="rId20"/>
    <sheet name="павл 28" sheetId="21" r:id="rId21"/>
    <sheet name="павл 30" sheetId="22" r:id="rId22"/>
    <sheet name="пав 45" sheetId="23" r:id="rId23"/>
    <sheet name="павл 47" sheetId="24" r:id="rId24"/>
    <sheet name="павл 47а" sheetId="25" r:id="rId25"/>
    <sheet name="павл 53" sheetId="26" r:id="rId26"/>
    <sheet name="пирог 21" sheetId="27" r:id="rId27"/>
    <sheet name="пирог 23" sheetId="28" r:id="rId28"/>
    <sheet name="пирог 34" sheetId="29" r:id="rId29"/>
    <sheet name="серг.бул.1" sheetId="30" r:id="rId30"/>
    <sheet name="серг.бул.3" sheetId="31" r:id="rId31"/>
    <sheet name="серг.бул. 4" sheetId="32" r:id="rId32"/>
    <sheet name="серг.бул.5" sheetId="33" r:id="rId33"/>
    <sheet name="серг.бул.7" sheetId="34" r:id="rId34"/>
    <sheet name="сов.арм. 20" sheetId="35" r:id="rId35"/>
    <sheet name="сов.арм. 22" sheetId="36" r:id="rId36"/>
    <sheet name="сов.арм. 24" sheetId="37" r:id="rId37"/>
    <sheet name="сов.ар.25" sheetId="38" r:id="rId38"/>
    <sheet name="сов.ар.26" sheetId="39" r:id="rId39"/>
    <sheet name="стр.9а" sheetId="40" r:id="rId40"/>
    <sheet name="стр 13" sheetId="41" r:id="rId41"/>
    <sheet name="стр 13а" sheetId="42" r:id="rId42"/>
    <sheet name="стр 15" sheetId="43" r:id="rId43"/>
    <sheet name="стр 32" sheetId="44" r:id="rId44"/>
    <sheet name="чел 106а" sheetId="45" r:id="rId45"/>
    <sheet name="энерг 9" sheetId="46" r:id="rId46"/>
    <sheet name="энерг.20" sheetId="47" r:id="rId47"/>
    <sheet name="ябл 11" sheetId="48" r:id="rId48"/>
    <sheet name="ябл 19" sheetId="49" r:id="rId49"/>
    <sheet name="ябл 21а" sheetId="50" r:id="rId50"/>
    <sheet name="ябл 23" sheetId="51" r:id="rId51"/>
    <sheet name="ябл 23а" sheetId="52" r:id="rId52"/>
    <sheet name="ябл 25" sheetId="53" r:id="rId53"/>
    <sheet name="ябл 34" sheetId="54" r:id="rId54"/>
    <sheet name="ябл 36" sheetId="55" r:id="rId55"/>
    <sheet name="ябл 36а" sheetId="56" r:id="rId56"/>
  </sheets>
  <definedNames/>
  <calcPr fullCalcOnLoad="1" refMode="R1C1"/>
</workbook>
</file>

<file path=xl/sharedStrings.xml><?xml version="1.0" encoding="utf-8"?>
<sst xmlns="http://schemas.openxmlformats.org/spreadsheetml/2006/main" count="972" uniqueCount="154">
  <si>
    <t>Текущий ремонт жилых домов (руб.)</t>
  </si>
  <si>
    <t>Содержание жилых домов (руб.)</t>
  </si>
  <si>
    <t>Капитальный ремонт жилых домов (руб.)</t>
  </si>
  <si>
    <t>2. Начислено</t>
  </si>
  <si>
    <t>3. Оплачено:</t>
  </si>
  <si>
    <t>4. Задолженность на конец отчетного периода</t>
  </si>
  <si>
    <t>5. Выполнено работ (оказано услуг)</t>
  </si>
  <si>
    <t>ул. Челябинская, 106а</t>
  </si>
  <si>
    <t>II. Основные показатели финансово-хозяйственной деятельности управляющей организации по каждому дому</t>
  </si>
  <si>
    <t>Таблица № 1</t>
  </si>
  <si>
    <t>Примечание:</t>
  </si>
  <si>
    <t>п.5 = данные управляющей организации</t>
  </si>
  <si>
    <t xml:space="preserve">6. Остаток на конец отчетного года                  "-" - перевыполнено работ                                "+" - недовыполнено работ            </t>
  </si>
  <si>
    <t>ул. Ленина, 33</t>
  </si>
  <si>
    <t>ул. Ленина, 34</t>
  </si>
  <si>
    <t>ул. Ленина, 35</t>
  </si>
  <si>
    <t>ул. Ленина, 36</t>
  </si>
  <si>
    <t>ул. Ленина, 37</t>
  </si>
  <si>
    <t>Общая площадь 330,9 кв.м.</t>
  </si>
  <si>
    <t>ул. Ленина, 39</t>
  </si>
  <si>
    <t>ул. Яблочкова, 19</t>
  </si>
  <si>
    <t>ул. Яблочкова, 21а</t>
  </si>
  <si>
    <t>ул. Яблочкова, 23</t>
  </si>
  <si>
    <t>ул. Яблочкова, 23а</t>
  </si>
  <si>
    <t>ул. Яблочкова, 25</t>
  </si>
  <si>
    <t>ул. Космонавтов, 11</t>
  </si>
  <si>
    <t>Общая площадь 2652,5 кв.м.</t>
  </si>
  <si>
    <t>1. Остаток на начало года</t>
  </si>
  <si>
    <t>ул.Сергея Буландо,1</t>
  </si>
  <si>
    <t>ул.Сергея Буландо,3</t>
  </si>
  <si>
    <t>ул.Сергея Буландо,5</t>
  </si>
  <si>
    <t>ул.Сергея Буландо,7</t>
  </si>
  <si>
    <t>ул.Ленина,6б</t>
  </si>
  <si>
    <t>п.6 = п.1+п.2 - п.5</t>
  </si>
  <si>
    <t>п.6 = п.1 + п.2 - п.5</t>
  </si>
  <si>
    <t>п.6 = п.1+п.2- п.5</t>
  </si>
  <si>
    <t>п.6 = п.1+п.2-п.5</t>
  </si>
  <si>
    <t>2015г.</t>
  </si>
  <si>
    <t>ул. Космонавтов, 15а</t>
  </si>
  <si>
    <t>Общая площадь 5711,42 кв.м.</t>
  </si>
  <si>
    <t>ул. Космонавтов, 20</t>
  </si>
  <si>
    <t>Общая площадь 3010.62 кв.м.</t>
  </si>
  <si>
    <t>ул. Космонавтов, 21</t>
  </si>
  <si>
    <t>ул. Космонавтов, 22</t>
  </si>
  <si>
    <t>Общая площадь 893,6 кв.м.</t>
  </si>
  <si>
    <t>Общая площадь 1662,70 кв.м.</t>
  </si>
  <si>
    <t>Общая площадь 746.14 кв.м.</t>
  </si>
  <si>
    <t>Общая площадь 3606,04 кв.м.</t>
  </si>
  <si>
    <t>2015 год</t>
  </si>
  <si>
    <t>Основные показатели финансово-хозяйственной деятельности управляющей организации по каждому дому</t>
  </si>
  <si>
    <t>1. Остаток на начало года:</t>
  </si>
  <si>
    <t>2. Начислено:</t>
  </si>
  <si>
    <t>4. Задолженность на конец отчетного периода:</t>
  </si>
  <si>
    <t>5. Выполнено работ (оказано услуг):</t>
  </si>
  <si>
    <t>Общая площадь 764,3 кв.м.</t>
  </si>
  <si>
    <t>Общая площадь жилых помещений 1508,36 кв.м.</t>
  </si>
  <si>
    <t>Общая площадь 713,09 кв.м.</t>
  </si>
  <si>
    <t>ул. Мира, 29а</t>
  </si>
  <si>
    <t>Общая площадь 433,7 кв.м.</t>
  </si>
  <si>
    <t>ул. Мира, 34</t>
  </si>
  <si>
    <t>Общая площадь 2514,34 кв.м.</t>
  </si>
  <si>
    <t>ул. Мира, 36а</t>
  </si>
  <si>
    <t>Общая площадь 2520,3 кв.м.</t>
  </si>
  <si>
    <t>ул. Мира, 38</t>
  </si>
  <si>
    <t>Общая площадь 2572,05 кв.м.</t>
  </si>
  <si>
    <t>ул. Мира, 38а</t>
  </si>
  <si>
    <t>Общая площадь 2587,02 кв.м.</t>
  </si>
  <si>
    <t>ул. Московская, 31</t>
  </si>
  <si>
    <t>Общая площадь 1123,44 кв.м.</t>
  </si>
  <si>
    <t>ул. Московская, 33</t>
  </si>
  <si>
    <t>Общая площадь 1412,03 кв.м.</t>
  </si>
  <si>
    <t>ул. Павлова, 4</t>
  </si>
  <si>
    <t>Общая площадь 961,14 кв.м.</t>
  </si>
  <si>
    <t xml:space="preserve"> </t>
  </si>
  <si>
    <t>ул. Павлова, 28</t>
  </si>
  <si>
    <t>Общая площадь 2808.9 кв.м.</t>
  </si>
  <si>
    <t>ул. Павлова, 30</t>
  </si>
  <si>
    <t>Общая площадь 3993.4 кв.м.</t>
  </si>
  <si>
    <t>-</t>
  </si>
  <si>
    <t>ул. Павлова, 45</t>
  </si>
  <si>
    <t>Общая площадь 3217.7 кв.м</t>
  </si>
  <si>
    <t>1.1. Остаток на начало года</t>
  </si>
  <si>
    <t>ул. Павлова, 47</t>
  </si>
  <si>
    <t>Общая площадь 4233,9 кв.м.</t>
  </si>
  <si>
    <t>ул. Павлова, 47а</t>
  </si>
  <si>
    <t>Общая площадь 4416,6 кв.м.</t>
  </si>
  <si>
    <t>ул. Павлова, 53</t>
  </si>
  <si>
    <t>Общая площадь 4474,4 кв.м.</t>
  </si>
  <si>
    <t>ул. Пирогова, 21</t>
  </si>
  <si>
    <t>Общая площадь 1088,6 кв.м.</t>
  </si>
  <si>
    <t>ул. Пирогова, 23</t>
  </si>
  <si>
    <t>Общая площадь 602,2 кв.м.</t>
  </si>
  <si>
    <t>ул. Пирогова, 34</t>
  </si>
  <si>
    <t>Общая площадь 324,7 кв.м.</t>
  </si>
  <si>
    <t>Общая площадь 4049,7 кв.м.</t>
  </si>
  <si>
    <t>Общая площадь 4047,2 кв.м.</t>
  </si>
  <si>
    <t>ул. Сергея Буландо,4</t>
  </si>
  <si>
    <t>Общая площадь 4953,60 кв.м.</t>
  </si>
  <si>
    <t>Общая площадь 4037,9 кв.м.</t>
  </si>
  <si>
    <t>ул. Советской Армии, 20</t>
  </si>
  <si>
    <t>Общая площадь 4411.6 кв.м.</t>
  </si>
  <si>
    <t>ул. Советской Армии, 22</t>
  </si>
  <si>
    <t>Общая площадь 1715,3 кв.м.</t>
  </si>
  <si>
    <r>
      <rPr>
        <b/>
        <sz val="11"/>
        <rFont val="Arial"/>
        <family val="2"/>
      </rPr>
      <t>Содержание жилья</t>
    </r>
    <r>
      <rPr>
        <sz val="11"/>
        <rFont val="Arial"/>
        <family val="2"/>
      </rPr>
      <t xml:space="preserve"> в том числе нежилое помещение ПАО "Ростелеком" 5200р.*11мес=57200р.
Задолженность ПАО "Ростелеком" на 01.01.2015г. 5200р.
Итого оплачено ПАО "Ростелеком" в течение 2016г. за содержание 62400р.</t>
    </r>
  </si>
  <si>
    <t>ул. Советской Армии, 24</t>
  </si>
  <si>
    <t>Общая площадь 5634,5 кв.м.</t>
  </si>
  <si>
    <t>ул. Советской Армии,25</t>
  </si>
  <si>
    <t>Общая площадь 4104.0 кв.м.</t>
  </si>
  <si>
    <t>ул. Советской Армии, 26</t>
  </si>
  <si>
    <t>Общая площадь 4926.2 кв.м</t>
  </si>
  <si>
    <t>ул. Строителей, 9а</t>
  </si>
  <si>
    <t>Общая площадь 642.90 кв.м.</t>
  </si>
  <si>
    <t>ул. Строителей, 13</t>
  </si>
  <si>
    <t>Общая площадь 1424,45 кв.м.</t>
  </si>
  <si>
    <t>ул. Строителей, 13а</t>
  </si>
  <si>
    <t>Общая площадь 2532,3 кв.м.</t>
  </si>
  <si>
    <t>ул. Строителей, 15</t>
  </si>
  <si>
    <t>Общая площадь 1504.29 кв.м.</t>
  </si>
  <si>
    <t>ул. Строителей, 32</t>
  </si>
  <si>
    <t>Общая площадь 632.6 кв.м.</t>
  </si>
  <si>
    <t>Общая площадь 413,4 кв.м.</t>
  </si>
  <si>
    <t>ул. Энергетиков, 9</t>
  </si>
  <si>
    <t>Общая площадь 900,2 кв.м.</t>
  </si>
  <si>
    <t>ул. Энергетиков,20</t>
  </si>
  <si>
    <t>Общая площадь  896.22  кв.м.</t>
  </si>
  <si>
    <t>ул. Яблочкова, 11</t>
  </si>
  <si>
    <t>Общая площадь 3035.10 кв.м.</t>
  </si>
  <si>
    <t>Общая площадь 4893,4 кв.м.</t>
  </si>
  <si>
    <t>Общая площадь 3107,4 кв.м.</t>
  </si>
  <si>
    <t>Общая площадь 5636 кв.м.</t>
  </si>
  <si>
    <t>Общая площадь 4224.4 кв.м.</t>
  </si>
  <si>
    <t>Общая площадь 2127,6 кв.м.</t>
  </si>
  <si>
    <t>Директор ООО"Городской управляющей компании"</t>
  </si>
  <si>
    <t>А.Г. Абдулзалилов</t>
  </si>
  <si>
    <t>исполнитель:</t>
  </si>
  <si>
    <t xml:space="preserve">О.А. Шумакова </t>
  </si>
  <si>
    <t>ул. Яблочкова, 34</t>
  </si>
  <si>
    <t>Общая площадь 5352,8 кв.м.</t>
  </si>
  <si>
    <t>п.6 = п. 1+п.2 - п.5</t>
  </si>
  <si>
    <t>исполнитель:                   О.А.Шумакова</t>
  </si>
  <si>
    <t>ул. Яблочкова, 36</t>
  </si>
  <si>
    <t>Общая площадь 9679.3 кв.м.</t>
  </si>
  <si>
    <t>ул. Яблочкова, 36а</t>
  </si>
  <si>
    <t>Общая площадь 5937 кв.м.</t>
  </si>
  <si>
    <t xml:space="preserve">6. Остаток на конец отчетного года
"-" - перевыполнено работ
"+" - недовыполнено работ            </t>
  </si>
  <si>
    <t>Общая площадь 2160,7 кв.м.</t>
  </si>
  <si>
    <t>Начислено по строке "разовое начисление"</t>
  </si>
  <si>
    <t>Стоимость материалов по смете</t>
  </si>
  <si>
    <t>Остаток денежных средств собственников 
по строке "разовое начисление"</t>
  </si>
  <si>
    <t>ОСТАТОК</t>
  </si>
  <si>
    <t>(10826-8341)</t>
  </si>
  <si>
    <t>Общая площадь 4036,9 кв.м.</t>
  </si>
  <si>
    <t>Разница в стоимости замков</t>
  </si>
  <si>
    <t>(2485+53)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</si>
</sst>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4" fontId="2" fillId="0" borderId="11" xfId="0" applyNumberFormat="1" applyFont="1" applyBorder="1" applyAlignment="1">
      <alignment horizontal="center" vertical="justify"/>
    </xf>
    <xf numFmtId="0" fontId="3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85" zoomScaleSheetLayoutView="85" workbookViewId="0" topLeftCell="A1">
      <selection activeCell="I30" sqref="I30"/>
    </sheetView>
  </sheetViews>
  <sheetFormatPr defaultColWidth="9.140625" defaultRowHeight="12.75"/>
  <cols>
    <col min="2" max="2" width="16.57421875" style="0" customWidth="1"/>
  </cols>
  <sheetData>
    <row r="1" spans="1:8" ht="15">
      <c r="A1" s="16" t="s">
        <v>25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26</v>
      </c>
      <c r="B2" s="17"/>
      <c r="C2" s="17"/>
      <c r="D2" s="17"/>
      <c r="E2" s="17"/>
      <c r="F2" s="17"/>
      <c r="G2" s="17"/>
      <c r="H2" s="17"/>
    </row>
    <row r="3" spans="1:8" ht="15">
      <c r="A3" s="2"/>
      <c r="B3" s="2"/>
      <c r="C3" s="4"/>
      <c r="D3" s="3" t="s">
        <v>37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8" t="s">
        <v>8</v>
      </c>
      <c r="B5" s="18"/>
      <c r="C5" s="18"/>
      <c r="D5" s="18"/>
      <c r="E5" s="18"/>
      <c r="F5" s="18"/>
      <c r="G5" s="18"/>
      <c r="H5" s="18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9" t="s">
        <v>9</v>
      </c>
      <c r="B7" s="19"/>
      <c r="C7" s="19"/>
      <c r="D7" s="19"/>
      <c r="E7" s="19"/>
      <c r="F7" s="19"/>
      <c r="G7" s="19"/>
      <c r="H7" s="19"/>
    </row>
    <row r="9" spans="1:8" ht="54" customHeight="1">
      <c r="A9" s="29"/>
      <c r="B9" s="29"/>
      <c r="C9" s="30" t="s">
        <v>0</v>
      </c>
      <c r="D9" s="30"/>
      <c r="E9" s="30" t="s">
        <v>1</v>
      </c>
      <c r="F9" s="30"/>
      <c r="G9" s="30" t="s">
        <v>2</v>
      </c>
      <c r="H9" s="30"/>
    </row>
    <row r="10" spans="1:8" ht="29.25" customHeight="1">
      <c r="A10" s="20" t="s">
        <v>27</v>
      </c>
      <c r="B10" s="21"/>
      <c r="C10" s="22">
        <v>175836.57</v>
      </c>
      <c r="D10" s="23"/>
      <c r="E10" s="24">
        <v>0</v>
      </c>
      <c r="F10" s="25"/>
      <c r="G10" s="24">
        <v>0</v>
      </c>
      <c r="H10" s="25"/>
    </row>
    <row r="11" spans="1:8" ht="15">
      <c r="A11" s="26" t="s">
        <v>3</v>
      </c>
      <c r="B11" s="26"/>
      <c r="C11" s="27">
        <f>62751.5+19098</f>
        <v>81849.5</v>
      </c>
      <c r="D11" s="28"/>
      <c r="E11" s="27">
        <f>8196.27+63786+105039+9549+9389.89</f>
        <v>195960.16000000003</v>
      </c>
      <c r="F11" s="28"/>
      <c r="G11" s="23">
        <v>0</v>
      </c>
      <c r="H11" s="23"/>
    </row>
    <row r="12" spans="1:8" ht="15">
      <c r="A12" s="26" t="s">
        <v>4</v>
      </c>
      <c r="B12" s="26"/>
      <c r="C12" s="27">
        <f>272561.62-E12</f>
        <v>76601.45999999996</v>
      </c>
      <c r="D12" s="28"/>
      <c r="E12" s="27">
        <f>E11</f>
        <v>195960.16000000003</v>
      </c>
      <c r="F12" s="28"/>
      <c r="G12" s="23">
        <v>0</v>
      </c>
      <c r="H12" s="23"/>
    </row>
    <row r="13" spans="1:8" ht="47.25" customHeight="1">
      <c r="A13" s="26" t="s">
        <v>5</v>
      </c>
      <c r="B13" s="26"/>
      <c r="C13" s="22">
        <v>51411.51</v>
      </c>
      <c r="D13" s="23"/>
      <c r="E13" s="23">
        <v>0</v>
      </c>
      <c r="F13" s="23"/>
      <c r="G13" s="23">
        <v>0</v>
      </c>
      <c r="H13" s="23"/>
    </row>
    <row r="14" spans="1:8" ht="33" customHeight="1">
      <c r="A14" s="26" t="s">
        <v>6</v>
      </c>
      <c r="B14" s="26"/>
      <c r="C14" s="22">
        <v>99166</v>
      </c>
      <c r="D14" s="23"/>
      <c r="E14" s="22">
        <f>E11</f>
        <v>195960.16000000003</v>
      </c>
      <c r="F14" s="23"/>
      <c r="G14" s="23">
        <v>0</v>
      </c>
      <c r="H14" s="23"/>
    </row>
    <row r="15" spans="1:8" ht="92.25" customHeight="1">
      <c r="A15" s="26" t="s">
        <v>12</v>
      </c>
      <c r="B15" s="26"/>
      <c r="C15" s="22">
        <f>C10+C11-C14</f>
        <v>158520.07</v>
      </c>
      <c r="D15" s="23"/>
      <c r="E15" s="23">
        <v>0</v>
      </c>
      <c r="F15" s="23"/>
      <c r="G15" s="23">
        <v>0</v>
      </c>
      <c r="H15" s="23"/>
    </row>
    <row r="16" spans="1:2" ht="13.5" customHeight="1">
      <c r="A16" s="32"/>
      <c r="B16" s="32"/>
    </row>
    <row r="17" spans="1:2" ht="12.75" customHeight="1">
      <c r="A17" s="32"/>
      <c r="B17" s="32"/>
    </row>
    <row r="18" spans="1:8" ht="28.5" customHeight="1">
      <c r="A18" s="34"/>
      <c r="B18" s="34"/>
      <c r="C18" s="34"/>
      <c r="D18" s="34"/>
      <c r="E18" s="34"/>
      <c r="F18" s="34"/>
      <c r="G18" s="34"/>
      <c r="H18" s="34"/>
    </row>
    <row r="19" spans="1:8" ht="14.25">
      <c r="A19" s="1"/>
      <c r="B19" s="1"/>
      <c r="C19" s="33"/>
      <c r="D19" s="33"/>
      <c r="E19" s="33"/>
      <c r="F19" s="33"/>
      <c r="G19" s="33"/>
      <c r="H19" s="33"/>
    </row>
    <row r="20" spans="1:8" ht="14.25">
      <c r="A20" s="31"/>
      <c r="B20" s="31"/>
      <c r="C20" s="31"/>
      <c r="D20" s="31"/>
      <c r="E20" s="31"/>
      <c r="F20" s="31"/>
      <c r="G20" s="31"/>
      <c r="H20" s="31"/>
    </row>
    <row r="21" spans="1:2" ht="14.25">
      <c r="A21" s="31"/>
      <c r="B21" s="31"/>
    </row>
    <row r="22" spans="1:2" ht="14.25">
      <c r="A22" s="1"/>
      <c r="B22" s="1"/>
    </row>
    <row r="23" spans="1:4" ht="14.25">
      <c r="A23" s="31" t="s">
        <v>11</v>
      </c>
      <c r="B23" s="31"/>
      <c r="C23" s="31"/>
      <c r="D23" s="31"/>
    </row>
    <row r="24" spans="1:2" ht="14.25">
      <c r="A24" s="1"/>
      <c r="B24" s="1"/>
    </row>
    <row r="25" spans="1:2" ht="14.25">
      <c r="A25" s="31" t="s">
        <v>33</v>
      </c>
      <c r="B25" s="31"/>
    </row>
  </sheetData>
  <sheetProtection/>
  <mergeCells count="40">
    <mergeCell ref="A23:D23"/>
    <mergeCell ref="A25:B25"/>
    <mergeCell ref="A16:B16"/>
    <mergeCell ref="A17:B17"/>
    <mergeCell ref="A21:B21"/>
    <mergeCell ref="C19:H19"/>
    <mergeCell ref="A20:H20"/>
    <mergeCell ref="A18:H18"/>
    <mergeCell ref="A15:B15"/>
    <mergeCell ref="C15:D15"/>
    <mergeCell ref="E15:F15"/>
    <mergeCell ref="G15:H15"/>
    <mergeCell ref="A14:B14"/>
    <mergeCell ref="C14:D14"/>
    <mergeCell ref="E14:F14"/>
    <mergeCell ref="G14:H14"/>
    <mergeCell ref="A13:B13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9:B9"/>
    <mergeCell ref="C9:D9"/>
    <mergeCell ref="E9:F9"/>
    <mergeCell ref="G9:H9"/>
    <mergeCell ref="A1:H1"/>
    <mergeCell ref="A2:H2"/>
    <mergeCell ref="A5:H5"/>
    <mergeCell ref="A7:H7"/>
    <mergeCell ref="A10:B10"/>
    <mergeCell ref="C10:D10"/>
    <mergeCell ref="E10:F10"/>
    <mergeCell ref="G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16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55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8.5" customHeight="1">
      <c r="A10" s="41" t="s">
        <v>27</v>
      </c>
      <c r="B10" s="42"/>
      <c r="C10" s="43">
        <v>-77456.3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24237.12</v>
      </c>
      <c r="D11" s="44"/>
      <c r="E11" s="43">
        <f>4660.95+98554.13+5430.09+5339.71</f>
        <v>113984.88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148632.3-E12</f>
        <v>34647.419999999984</v>
      </c>
      <c r="D12" s="44"/>
      <c r="E12" s="43">
        <f>E11</f>
        <v>113984.88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f>27958.15</f>
        <v>27958.15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84749</v>
      </c>
      <c r="D14" s="44"/>
      <c r="E14" s="43">
        <f>E12</f>
        <v>113984.88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-137968.18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35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17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18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8.5" customHeight="1">
      <c r="A10" s="41" t="s">
        <v>27</v>
      </c>
      <c r="B10" s="42"/>
      <c r="C10" s="43">
        <v>-3102.93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16280.28</v>
      </c>
      <c r="D11" s="44"/>
      <c r="E11" s="43">
        <f>1022.49+21730.26+1191.24+1171.38</f>
        <v>25115.370000000003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38830-E12</f>
        <v>13714.629999999997</v>
      </c>
      <c r="D12" s="44"/>
      <c r="E12" s="43">
        <f>E11</f>
        <v>25115.370000000003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9773.18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12234</v>
      </c>
      <c r="D14" s="44"/>
      <c r="E14" s="43">
        <f>E12</f>
        <v>25115.370000000003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943.3500000000004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19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56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.75" customHeight="1">
      <c r="A10" s="41" t="s">
        <v>27</v>
      </c>
      <c r="B10" s="42"/>
      <c r="C10" s="43">
        <v>28551.05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f>17542.02+14889.24</f>
        <v>32431.260000000002</v>
      </c>
      <c r="D11" s="44"/>
      <c r="E11" s="43">
        <f>2203.44+46828.63+2567.13+2524.29</f>
        <v>54123.49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70850.38-E12</f>
        <v>16726.890000000007</v>
      </c>
      <c r="D12" s="44"/>
      <c r="E12" s="43">
        <f>E11</f>
        <v>54123.49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78641.81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36727</v>
      </c>
      <c r="D14" s="44"/>
      <c r="E14" s="43">
        <f>E12</f>
        <v>54123.49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24255.309999999998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34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57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58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.75" customHeight="1">
      <c r="A10" s="41" t="s">
        <v>27</v>
      </c>
      <c r="B10" s="42"/>
      <c r="C10" s="43">
        <v>-62235.81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21338.04</v>
      </c>
      <c r="D11" s="44"/>
      <c r="E11" s="43">
        <f>1340.16+28481.07+1561.32+1535.31</f>
        <v>32917.86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47748.23-E12</f>
        <v>14830.370000000003</v>
      </c>
      <c r="D12" s="44"/>
      <c r="E12" s="43">
        <f>E11</f>
        <v>32917.86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18647.6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18179</v>
      </c>
      <c r="D14" s="44"/>
      <c r="E14" s="43">
        <f>E12</f>
        <v>32917.86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-59076.77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59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60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8.5" customHeight="1">
      <c r="A10" s="41" t="s">
        <v>27</v>
      </c>
      <c r="B10" s="42"/>
      <c r="C10" s="43">
        <v>-65825.26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f>52499.45+48124.73</f>
        <v>100624.18</v>
      </c>
      <c r="D11" s="44"/>
      <c r="E11" s="43">
        <f>7769.34+165116.83+9051.63+8900.79</f>
        <v>190838.59</v>
      </c>
      <c r="F11" s="44"/>
      <c r="G11" s="59"/>
      <c r="H11" s="59"/>
    </row>
    <row r="12" spans="1:8" ht="15">
      <c r="A12" s="47" t="s">
        <v>4</v>
      </c>
      <c r="B12" s="47"/>
      <c r="C12" s="43">
        <f>269149.85-E12</f>
        <v>78311.25999999998</v>
      </c>
      <c r="D12" s="44"/>
      <c r="E12" s="43">
        <f>E11</f>
        <v>190838.59</v>
      </c>
      <c r="F12" s="44"/>
      <c r="G12" s="59"/>
      <c r="H12" s="59"/>
    </row>
    <row r="13" spans="1:8" ht="47.25" customHeight="1">
      <c r="A13" s="47" t="s">
        <v>5</v>
      </c>
      <c r="B13" s="47"/>
      <c r="C13" s="43">
        <v>117618.49</v>
      </c>
      <c r="D13" s="44"/>
      <c r="E13" s="44">
        <v>0</v>
      </c>
      <c r="F13" s="44"/>
      <c r="G13" s="44"/>
      <c r="H13" s="44"/>
    </row>
    <row r="14" spans="1:8" ht="33" customHeight="1">
      <c r="A14" s="47" t="s">
        <v>6</v>
      </c>
      <c r="B14" s="47"/>
      <c r="C14" s="43">
        <v>41632</v>
      </c>
      <c r="D14" s="44"/>
      <c r="E14" s="43">
        <f>E12</f>
        <v>190838.59</v>
      </c>
      <c r="F14" s="44"/>
      <c r="G14" s="59"/>
      <c r="H14" s="59"/>
    </row>
    <row r="15" spans="1:8" ht="92.25" customHeight="1">
      <c r="A15" s="47" t="s">
        <v>12</v>
      </c>
      <c r="B15" s="47"/>
      <c r="C15" s="43">
        <f>C10+C11-C14</f>
        <v>-6833.080000000002</v>
      </c>
      <c r="D15" s="44"/>
      <c r="E15" s="44">
        <v>0</v>
      </c>
      <c r="F15" s="44"/>
      <c r="G15" s="60"/>
      <c r="H15" s="61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9"/>
      <c r="B21" s="9"/>
    </row>
    <row r="22" spans="1:4" ht="14.25">
      <c r="A22" s="48" t="s">
        <v>11</v>
      </c>
      <c r="B22" s="48"/>
      <c r="C22" s="48"/>
      <c r="D22" s="48"/>
    </row>
    <row r="23" spans="1:2" ht="14.25">
      <c r="A23" s="9"/>
      <c r="B23" s="9"/>
    </row>
    <row r="24" spans="1:2" ht="14.25">
      <c r="A24" s="48" t="s">
        <v>33</v>
      </c>
      <c r="B24" s="48"/>
    </row>
  </sheetData>
  <sheetProtection/>
  <mergeCells count="37">
    <mergeCell ref="A16:B16"/>
    <mergeCell ref="A17:B17"/>
    <mergeCell ref="A18:B18"/>
    <mergeCell ref="A22:D22"/>
    <mergeCell ref="A24:B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61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62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8.5" customHeight="1">
      <c r="A10" s="41" t="s">
        <v>27</v>
      </c>
      <c r="B10" s="42"/>
      <c r="C10" s="43">
        <v>112662.42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f>62032.59+48238.36</f>
        <v>110270.95</v>
      </c>
      <c r="D11" s="44"/>
      <c r="E11" s="43">
        <f>7796.03+165528.13+9082.8+8931.39</f>
        <v>191338.34999999998</v>
      </c>
      <c r="F11" s="44"/>
      <c r="G11" s="59"/>
      <c r="H11" s="59"/>
    </row>
    <row r="12" spans="1:8" ht="15">
      <c r="A12" s="47" t="s">
        <v>4</v>
      </c>
      <c r="B12" s="47"/>
      <c r="C12" s="43">
        <f>303467.95-E12</f>
        <v>67184.63</v>
      </c>
      <c r="D12" s="44"/>
      <c r="E12" s="43">
        <v>236283.32</v>
      </c>
      <c r="F12" s="44"/>
      <c r="G12" s="44"/>
      <c r="H12" s="44"/>
    </row>
    <row r="13" spans="1:8" ht="47.25" customHeight="1">
      <c r="A13" s="47" t="s">
        <v>5</v>
      </c>
      <c r="B13" s="47"/>
      <c r="C13" s="43">
        <v>53566.76</v>
      </c>
      <c r="D13" s="44"/>
      <c r="E13" s="44">
        <v>0</v>
      </c>
      <c r="F13" s="44"/>
      <c r="G13" s="44"/>
      <c r="H13" s="44"/>
    </row>
    <row r="14" spans="1:8" ht="33" customHeight="1">
      <c r="A14" s="47" t="s">
        <v>6</v>
      </c>
      <c r="B14" s="47"/>
      <c r="C14" s="43">
        <v>19687</v>
      </c>
      <c r="D14" s="44"/>
      <c r="E14" s="43">
        <v>236283.32</v>
      </c>
      <c r="F14" s="44"/>
      <c r="G14" s="59"/>
      <c r="H14" s="59"/>
    </row>
    <row r="15" spans="1:8" ht="92.25" customHeight="1">
      <c r="A15" s="47" t="s">
        <v>12</v>
      </c>
      <c r="B15" s="47"/>
      <c r="C15" s="43">
        <f>C10+C11-C14</f>
        <v>203246.37</v>
      </c>
      <c r="D15" s="44"/>
      <c r="E15" s="44">
        <v>0</v>
      </c>
      <c r="F15" s="44"/>
      <c r="G15" s="44"/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63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64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8.5" customHeight="1">
      <c r="A10" s="41" t="s">
        <v>27</v>
      </c>
      <c r="B10" s="42"/>
      <c r="C10" s="43">
        <v>203032.84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126544.91</v>
      </c>
      <c r="D11" s="44"/>
      <c r="E11" s="43">
        <f>7947.84+64275.66+105094.22+9259.38+9105.09</f>
        <v>195682.19</v>
      </c>
      <c r="F11" s="44"/>
      <c r="G11" s="44"/>
      <c r="H11" s="44"/>
    </row>
    <row r="12" spans="1:8" ht="15">
      <c r="A12" s="47" t="s">
        <v>4</v>
      </c>
      <c r="B12" s="47"/>
      <c r="C12" s="43">
        <f>293708.2-E12</f>
        <v>98026.01000000001</v>
      </c>
      <c r="D12" s="44"/>
      <c r="E12" s="43">
        <f>E11</f>
        <v>195682.19</v>
      </c>
      <c r="F12" s="44"/>
      <c r="G12" s="44"/>
      <c r="H12" s="44"/>
    </row>
    <row r="13" spans="1:8" ht="47.25" customHeight="1">
      <c r="A13" s="47" t="s">
        <v>5</v>
      </c>
      <c r="B13" s="47"/>
      <c r="C13" s="43">
        <v>67897.71</v>
      </c>
      <c r="D13" s="44"/>
      <c r="E13" s="44">
        <v>0</v>
      </c>
      <c r="F13" s="44"/>
      <c r="G13" s="44"/>
      <c r="H13" s="44"/>
    </row>
    <row r="14" spans="1:8" ht="33" customHeight="1">
      <c r="A14" s="47" t="s">
        <v>6</v>
      </c>
      <c r="B14" s="47"/>
      <c r="C14" s="43">
        <v>83922</v>
      </c>
      <c r="D14" s="44"/>
      <c r="E14" s="43">
        <f>E12</f>
        <v>195682.19</v>
      </c>
      <c r="F14" s="44"/>
      <c r="G14" s="44"/>
      <c r="H14" s="44"/>
    </row>
    <row r="15" spans="1:8" ht="92.25" customHeight="1">
      <c r="A15" s="47" t="s">
        <v>12</v>
      </c>
      <c r="B15" s="47"/>
      <c r="C15" s="43">
        <f>C10+C11-C14</f>
        <v>245655.75</v>
      </c>
      <c r="D15" s="44"/>
      <c r="E15" s="44">
        <v>0</v>
      </c>
      <c r="F15" s="44"/>
      <c r="G15" s="44"/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65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66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27</v>
      </c>
      <c r="B10" s="42"/>
      <c r="C10" s="43">
        <v>142130.57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127281.36</v>
      </c>
      <c r="D11" s="44"/>
      <c r="E11" s="43">
        <f>7993.96+169889.62+9313.26+9158.05</f>
        <v>196354.88999999998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299556.01-E12</f>
        <v>103201.12000000002</v>
      </c>
      <c r="D12" s="44"/>
      <c r="E12" s="43">
        <f>E11</f>
        <v>196354.88999999998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82358.99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17340</v>
      </c>
      <c r="D14" s="44"/>
      <c r="E14" s="43">
        <f>E12</f>
        <v>196354.88999999998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252071.93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67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68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" customHeight="1">
      <c r="A10" s="41" t="s">
        <v>27</v>
      </c>
      <c r="B10" s="42"/>
      <c r="C10" s="62">
        <v>-79425.61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55273.2</v>
      </c>
      <c r="D11" s="44"/>
      <c r="E11" s="43">
        <f>3471.48+73776.29+4044.39+3976.95</f>
        <v>85269.10999999999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130914.54-E12</f>
        <v>45645.43000000001</v>
      </c>
      <c r="D12" s="44"/>
      <c r="E12" s="43">
        <f>E11</f>
        <v>85269.10999999999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29112.27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72653</v>
      </c>
      <c r="D14" s="44"/>
      <c r="E14" s="43">
        <f>E12</f>
        <v>85269.10999999999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-96805.41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69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70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27</v>
      </c>
      <c r="B10" s="42"/>
      <c r="C10" s="62">
        <v>53569.57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69471.84</v>
      </c>
      <c r="D11" s="44"/>
      <c r="E11" s="43">
        <f>4363.2+92728.23+5083.32+4998.68</f>
        <v>107173.43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163948.48-E12</f>
        <v>56775.05000000002</v>
      </c>
      <c r="D12" s="44"/>
      <c r="E12" s="43">
        <f>E11</f>
        <v>107173.43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87497.36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30143</v>
      </c>
      <c r="D14" s="44"/>
      <c r="E14" s="43">
        <f>E12</f>
        <v>107173.43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92898.41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85" zoomScaleSheetLayoutView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38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39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" customHeight="1">
      <c r="A10" s="41" t="s">
        <v>27</v>
      </c>
      <c r="B10" s="42"/>
      <c r="C10" s="43">
        <v>115539.91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187375.64</v>
      </c>
      <c r="D11" s="44"/>
      <c r="E11" s="43">
        <f>17663.96+232340.51+34127.11+90034.56+19207.21+19035.88</f>
        <v>412409.23000000004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560366.01-E12</f>
        <v>147956.77999999997</v>
      </c>
      <c r="D12" s="44"/>
      <c r="E12" s="43">
        <f>E11</f>
        <v>412409.23000000004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152431.84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157536</v>
      </c>
      <c r="D14" s="44"/>
      <c r="E14" s="43">
        <f>E12</f>
        <v>412409.23000000004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145379.55000000005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</sheetData>
  <sheetProtection/>
  <mergeCells count="40">
    <mergeCell ref="A27:G27"/>
    <mergeCell ref="A28:G28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71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72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11" ht="30" customHeight="1">
      <c r="A10" s="41" t="s">
        <v>27</v>
      </c>
      <c r="B10" s="42"/>
      <c r="C10" s="62">
        <v>53194.23</v>
      </c>
      <c r="D10" s="46"/>
      <c r="E10" s="45">
        <v>0</v>
      </c>
      <c r="F10" s="46"/>
      <c r="G10" s="45">
        <v>0</v>
      </c>
      <c r="H10" s="46"/>
      <c r="K10" t="s">
        <v>73</v>
      </c>
    </row>
    <row r="11" spans="1:8" ht="15">
      <c r="A11" s="47" t="s">
        <v>3</v>
      </c>
      <c r="B11" s="47"/>
      <c r="C11" s="43">
        <f>23644.02+20068.67</f>
        <v>43712.69</v>
      </c>
      <c r="D11" s="44"/>
      <c r="E11" s="43">
        <f>2969.94+63118.12+3460.11+3402.47</f>
        <v>72950.64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114057.07-E12</f>
        <v>41106.43000000001</v>
      </c>
      <c r="D12" s="44"/>
      <c r="E12" s="43">
        <f>E11</f>
        <v>72950.64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11913.77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110846</v>
      </c>
      <c r="D14" s="44"/>
      <c r="E14" s="43">
        <f>E12</f>
        <v>72950.64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-13939.079999999987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74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75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27</v>
      </c>
      <c r="B10" s="42"/>
      <c r="C10" s="62">
        <v>-273038.68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46178.16</v>
      </c>
      <c r="D11" s="44"/>
      <c r="E11" s="43">
        <f>25272.61+8670.18+184420.78+8845.49+10101.24+9932.76</f>
        <v>247243.06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250468.65-E12</f>
        <v>3225.5899999999965</v>
      </c>
      <c r="D12" s="44"/>
      <c r="E12" s="43">
        <f>E11</f>
        <v>247243.06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113436.7</v>
      </c>
      <c r="D13" s="44"/>
      <c r="E13" s="43">
        <f>E11-E12</f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48083</v>
      </c>
      <c r="D14" s="44"/>
      <c r="E14" s="43">
        <f>E12</f>
        <v>247243.06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-274943.52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ht="12.75">
      <c r="A25" t="s">
        <v>33</v>
      </c>
    </row>
  </sheetData>
  <sheetProtection/>
  <mergeCells count="37"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76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77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27</v>
      </c>
      <c r="B10" s="42"/>
      <c r="C10" s="62">
        <v>-24871.13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122264.54</v>
      </c>
      <c r="D11" s="44"/>
      <c r="E11" s="43">
        <f>30574.59+12349.5+259195.84+17980.76+14387.76+14147.98</f>
        <v>348636.43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459354.57-E12</f>
        <v>110718.14000000001</v>
      </c>
      <c r="D12" s="44"/>
      <c r="E12" s="43">
        <f>E11</f>
        <v>348636.43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62649.02</v>
      </c>
      <c r="D13" s="44"/>
      <c r="E13" s="44" t="s">
        <v>78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410768</v>
      </c>
      <c r="D14" s="44"/>
      <c r="E14" s="43">
        <f>E12</f>
        <v>348636.43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-313374.59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  <col min="4" max="4" width="9.421875" style="0" customWidth="1"/>
  </cols>
  <sheetData>
    <row r="1" spans="1:8" ht="15">
      <c r="A1" s="35" t="s">
        <v>79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80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81</v>
      </c>
      <c r="B10" s="42"/>
      <c r="C10" s="62">
        <v>-16648.04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f>158121.82</f>
        <v>158121.82</v>
      </c>
      <c r="D11" s="44"/>
      <c r="E11" s="43">
        <f>9944.03+211123.08+11585.16+11392.14</f>
        <v>244044.40999999997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366800.4-E12</f>
        <v>122755.99000000005</v>
      </c>
      <c r="D12" s="44"/>
      <c r="E12" s="43">
        <f>E11</f>
        <v>244044.40999999997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93710.98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215011</v>
      </c>
      <c r="D14" s="44"/>
      <c r="E14" s="43">
        <f>E12</f>
        <v>244044.40999999997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-73537.22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5"/>
    </row>
  </sheetData>
  <sheetProtection/>
  <mergeCells count="40">
    <mergeCell ref="A27:G27"/>
    <mergeCell ref="A28:F28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82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83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27</v>
      </c>
      <c r="B10" s="42"/>
      <c r="C10" s="62">
        <v>35640.76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208307.88</v>
      </c>
      <c r="D11" s="44"/>
      <c r="E11" s="43">
        <f>13082.87+105805.44+172997.76+15242.04+14988.04</f>
        <v>322116.14999999997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501852.35-E12</f>
        <v>179736.2</v>
      </c>
      <c r="D12" s="44"/>
      <c r="E12" s="43">
        <f>E11</f>
        <v>322116.14999999997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86237.59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319166</v>
      </c>
      <c r="D14" s="44"/>
      <c r="E14" s="43">
        <f>E12</f>
        <v>322116.14999999997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-75217.35999999999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48"/>
      <c r="B20" s="48"/>
    </row>
    <row r="21" spans="1:2" ht="14.25">
      <c r="A21" s="9"/>
      <c r="B21" s="9"/>
    </row>
    <row r="22" spans="1:2" ht="14.25">
      <c r="A22" s="48"/>
      <c r="B22" s="48"/>
    </row>
    <row r="23" spans="1:2" ht="14.25">
      <c r="A23" s="9"/>
      <c r="B23" s="9"/>
    </row>
    <row r="24" spans="1:4" ht="14.25">
      <c r="A24" s="48" t="s">
        <v>11</v>
      </c>
      <c r="B24" s="48"/>
      <c r="C24" s="48"/>
      <c r="D24" s="48"/>
    </row>
    <row r="25" spans="1:2" ht="14.25">
      <c r="A25" s="9"/>
      <c r="B25" s="9"/>
    </row>
    <row r="26" spans="1:2" ht="14.25">
      <c r="A26" s="48" t="s">
        <v>33</v>
      </c>
      <c r="B26" s="48"/>
    </row>
  </sheetData>
  <sheetProtection/>
  <mergeCells count="39">
    <mergeCell ref="A26:B26"/>
    <mergeCell ref="A16:B16"/>
    <mergeCell ref="A17:B17"/>
    <mergeCell ref="A18:B18"/>
    <mergeCell ref="A20:B20"/>
    <mergeCell ref="A22:B22"/>
    <mergeCell ref="A24:D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1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84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85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8.5" customHeight="1">
      <c r="A10" s="41" t="s">
        <v>27</v>
      </c>
      <c r="B10" s="42"/>
      <c r="C10" s="62">
        <v>-346515.54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140956.37</v>
      </c>
      <c r="D11" s="44"/>
      <c r="E11" s="43">
        <f>13647.49+110371.09+180462.58+15899.76+15634.81</f>
        <v>336015.73</v>
      </c>
      <c r="F11" s="44"/>
      <c r="G11" s="44"/>
      <c r="H11" s="44"/>
    </row>
    <row r="12" spans="1:8" ht="15">
      <c r="A12" s="47" t="s">
        <v>4</v>
      </c>
      <c r="B12" s="47"/>
      <c r="C12" s="43">
        <f>449901-E12</f>
        <v>113885.27000000002</v>
      </c>
      <c r="D12" s="44"/>
      <c r="E12" s="43">
        <f>E11</f>
        <v>336015.73</v>
      </c>
      <c r="F12" s="44"/>
      <c r="G12" s="44"/>
      <c r="H12" s="44"/>
    </row>
    <row r="13" spans="1:8" ht="47.25" customHeight="1">
      <c r="A13" s="47" t="s">
        <v>5</v>
      </c>
      <c r="B13" s="47"/>
      <c r="C13" s="43">
        <v>118093.2</v>
      </c>
      <c r="D13" s="44"/>
      <c r="E13" s="44">
        <v>0</v>
      </c>
      <c r="F13" s="44"/>
      <c r="G13" s="44"/>
      <c r="H13" s="44"/>
    </row>
    <row r="14" spans="1:8" ht="33" customHeight="1">
      <c r="A14" s="47" t="s">
        <v>6</v>
      </c>
      <c r="B14" s="47"/>
      <c r="C14" s="43">
        <v>49496</v>
      </c>
      <c r="D14" s="44"/>
      <c r="E14" s="43">
        <f>E11</f>
        <v>336015.73</v>
      </c>
      <c r="F14" s="44"/>
      <c r="G14" s="44"/>
      <c r="H14" s="44"/>
    </row>
    <row r="15" spans="1:8" ht="92.25" customHeight="1">
      <c r="A15" s="47" t="s">
        <v>12</v>
      </c>
      <c r="B15" s="47"/>
      <c r="C15" s="43">
        <f>C10+C11-C14</f>
        <v>-255055.16999999998</v>
      </c>
      <c r="D15" s="44"/>
      <c r="E15" s="44">
        <v>0</v>
      </c>
      <c r="F15" s="44"/>
      <c r="G15" s="44"/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9"/>
      <c r="B21" s="9"/>
    </row>
    <row r="22" spans="1:4" ht="14.25">
      <c r="A22" s="48" t="s">
        <v>11</v>
      </c>
      <c r="B22" s="48"/>
      <c r="C22" s="48"/>
      <c r="D22" s="48"/>
    </row>
    <row r="23" spans="1:2" ht="14.25">
      <c r="A23" s="9"/>
      <c r="B23" s="9"/>
    </row>
    <row r="24" spans="1:2" ht="14.25">
      <c r="A24" s="48" t="s">
        <v>35</v>
      </c>
      <c r="B24" s="48"/>
    </row>
    <row r="27" spans="1:8" ht="12.75">
      <c r="A27" s="33"/>
      <c r="B27" s="33"/>
      <c r="C27" s="33"/>
      <c r="D27" s="33"/>
      <c r="E27" s="33"/>
      <c r="F27" s="33"/>
      <c r="G27" s="33"/>
      <c r="H27" s="33"/>
    </row>
    <row r="28" spans="1:7" ht="12.75">
      <c r="A28" s="33"/>
      <c r="B28" s="33"/>
      <c r="C28" s="33"/>
      <c r="D28" s="33"/>
      <c r="E28" s="33"/>
      <c r="F28" s="33"/>
      <c r="G28" s="33"/>
    </row>
    <row r="30" spans="1:6" ht="12.75">
      <c r="A30" s="33"/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</sheetData>
  <sheetProtection/>
  <mergeCells count="41">
    <mergeCell ref="A28:G28"/>
    <mergeCell ref="A30:F30"/>
    <mergeCell ref="A31:F31"/>
    <mergeCell ref="A16:B16"/>
    <mergeCell ref="A17:B17"/>
    <mergeCell ref="A18:B18"/>
    <mergeCell ref="A22:D22"/>
    <mergeCell ref="A24:B24"/>
    <mergeCell ref="A27:H2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86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87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" customHeight="1">
      <c r="A10" s="41" t="s">
        <v>81</v>
      </c>
      <c r="B10" s="42"/>
      <c r="C10" s="62">
        <v>-194790.1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220124.08</v>
      </c>
      <c r="D11" s="44"/>
      <c r="E11" s="43">
        <f>13824.89+293813.05+16106.4+15837.98</f>
        <v>339582.32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554161.31-E12</f>
        <v>214578.99000000005</v>
      </c>
      <c r="D12" s="44"/>
      <c r="E12" s="43">
        <f>E11</f>
        <v>339582.32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80307.81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208835.15</v>
      </c>
      <c r="D14" s="44"/>
      <c r="E14" s="43">
        <f>E11</f>
        <v>339582.32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-183501.17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48"/>
      <c r="B20" s="48"/>
    </row>
    <row r="21" spans="1:2" ht="14.25">
      <c r="A21" s="9"/>
      <c r="B21" s="9"/>
    </row>
    <row r="22" spans="1:2" ht="14.25">
      <c r="A22" s="48"/>
      <c r="B22" s="48"/>
    </row>
    <row r="23" spans="1:2" ht="14.25">
      <c r="A23" s="9"/>
      <c r="B23" s="9"/>
    </row>
    <row r="24" spans="1:4" ht="14.25">
      <c r="A24" s="48" t="s">
        <v>11</v>
      </c>
      <c r="B24" s="48"/>
      <c r="C24" s="48"/>
      <c r="D24" s="48"/>
    </row>
    <row r="25" spans="1:2" ht="14.25">
      <c r="A25" s="9"/>
      <c r="B25" s="9"/>
    </row>
    <row r="26" spans="1:2" ht="14.25">
      <c r="A26" s="48" t="s">
        <v>35</v>
      </c>
      <c r="B26" s="48"/>
    </row>
  </sheetData>
  <sheetProtection/>
  <mergeCells count="39">
    <mergeCell ref="A26:B26"/>
    <mergeCell ref="A16:B16"/>
    <mergeCell ref="A17:B17"/>
    <mergeCell ref="A18:B18"/>
    <mergeCell ref="A20:B20"/>
    <mergeCell ref="A22:B22"/>
    <mergeCell ref="A24:D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88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89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8.5" customHeight="1">
      <c r="A10" s="41" t="s">
        <v>27</v>
      </c>
      <c r="B10" s="42"/>
      <c r="C10" s="62">
        <v>-55868.69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53314.96</v>
      </c>
      <c r="D11" s="44"/>
      <c r="E11" s="43">
        <f>3340.86+71201.62+3892.23+3827.28</f>
        <v>82261.98999999999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131874.03-E12</f>
        <v>49612.04000000001</v>
      </c>
      <c r="D12" s="44"/>
      <c r="E12" s="43">
        <f>E11</f>
        <v>82261.98999999999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76398.95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85776</v>
      </c>
      <c r="D14" s="44"/>
      <c r="E14" s="43">
        <f>E11</f>
        <v>82261.98999999999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-88329.73000000001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90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91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" customHeight="1">
      <c r="A10" s="41" t="s">
        <v>27</v>
      </c>
      <c r="B10" s="42"/>
      <c r="C10" s="62">
        <v>-17721.09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29628.24</v>
      </c>
      <c r="D11" s="44"/>
      <c r="E11" s="43">
        <f>1860.84+39546.54+2167.92+2131.8</f>
        <v>45707.1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71498.39-E12</f>
        <v>25791.29</v>
      </c>
      <c r="D12" s="44"/>
      <c r="E12" s="43">
        <f>E11</f>
        <v>45707.1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8325.18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53693</v>
      </c>
      <c r="D14" s="44"/>
      <c r="E14" s="43">
        <f>E12</f>
        <v>45707.1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-41785.85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92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93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8.5" customHeight="1">
      <c r="A10" s="41" t="s">
        <v>27</v>
      </c>
      <c r="B10" s="42"/>
      <c r="C10" s="62">
        <v>-20594.13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f>7987.56+6779.64</f>
        <v>14767.2</v>
      </c>
      <c r="D11" s="44"/>
      <c r="E11" s="43">
        <f>1003.38+21322.95+1168.95+1149.45</f>
        <v>24644.730000000003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35520.55-E12</f>
        <v>10875.82</v>
      </c>
      <c r="D12" s="44"/>
      <c r="E12" s="43">
        <f>E11</f>
        <v>24644.730000000003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7883.47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11238</v>
      </c>
      <c r="D14" s="44"/>
      <c r="E14" s="43">
        <f>E12</f>
        <v>24644.730000000003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-17064.93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85" zoomScaleNormal="85" zoomScaleSheetLayoutView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40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41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" customHeight="1">
      <c r="A10" s="41" t="s">
        <v>27</v>
      </c>
      <c r="B10" s="42"/>
      <c r="C10" s="43">
        <v>-43918.68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144571.43</v>
      </c>
      <c r="D11" s="44"/>
      <c r="E11" s="43">
        <f>9303.02+194156.19+10838.23+10657.38</f>
        <v>224954.82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393310.24-E12</f>
        <v>168355.41999999998</v>
      </c>
      <c r="D12" s="44"/>
      <c r="E12" s="43">
        <f>E11</f>
        <v>224954.82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41324.57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55754</v>
      </c>
      <c r="D14" s="44"/>
      <c r="E14" s="43">
        <f>E12</f>
        <v>224954.82</v>
      </c>
      <c r="F14" s="44"/>
      <c r="G14" s="44">
        <v>0</v>
      </c>
      <c r="H14" s="44"/>
    </row>
    <row r="15" spans="1:8" ht="92.25" customHeight="1">
      <c r="A15" s="26" t="s">
        <v>144</v>
      </c>
      <c r="B15" s="47"/>
      <c r="C15" s="43">
        <f>C10+C11-C14</f>
        <v>44898.75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  <row r="27" spans="1:8" ht="12.75">
      <c r="A27" s="33"/>
      <c r="B27" s="33"/>
      <c r="C27" s="33"/>
      <c r="D27" s="33"/>
      <c r="E27" s="33"/>
      <c r="F27" s="33"/>
      <c r="G27" s="33"/>
      <c r="H27" s="33"/>
    </row>
    <row r="28" spans="1:8" ht="12.75">
      <c r="A28" s="33"/>
      <c r="B28" s="33"/>
      <c r="C28" s="33"/>
      <c r="D28" s="33"/>
      <c r="E28" s="33"/>
      <c r="F28" s="33"/>
      <c r="G28" s="33"/>
      <c r="H28" s="33"/>
    </row>
    <row r="29" spans="1:8" ht="12.75">
      <c r="A29" s="33"/>
      <c r="B29" s="33"/>
      <c r="C29" s="33"/>
      <c r="D29" s="33"/>
      <c r="E29" s="33"/>
      <c r="F29" s="33"/>
      <c r="G29" s="33"/>
      <c r="H29" s="33"/>
    </row>
    <row r="30" spans="1:8" ht="12.75">
      <c r="A30" s="33"/>
      <c r="B30" s="33"/>
      <c r="C30" s="33"/>
      <c r="D30" s="33"/>
      <c r="E30" s="33"/>
      <c r="F30" s="33"/>
      <c r="G30" s="33"/>
      <c r="H30" s="33"/>
    </row>
  </sheetData>
  <sheetProtection/>
  <mergeCells count="42">
    <mergeCell ref="A27:H27"/>
    <mergeCell ref="A28:H28"/>
    <mergeCell ref="A29:H29"/>
    <mergeCell ref="A30:H30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2.00390625" style="0" customWidth="1"/>
    <col min="4" max="4" width="14.00390625" style="0" customWidth="1"/>
  </cols>
  <sheetData>
    <row r="1" spans="1:8" ht="15">
      <c r="A1" s="35" t="s">
        <v>28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94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1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43.5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" customHeight="1">
      <c r="A10" s="41" t="s">
        <v>27</v>
      </c>
      <c r="B10" s="42"/>
      <c r="C10" s="43">
        <v>37687.85</v>
      </c>
      <c r="D10" s="44"/>
      <c r="E10" s="45">
        <v>0</v>
      </c>
      <c r="F10" s="46"/>
      <c r="G10" s="45">
        <v>0</v>
      </c>
      <c r="H10" s="46"/>
    </row>
    <row r="11" spans="1:8" ht="25.5" customHeight="1">
      <c r="A11" s="47" t="s">
        <v>3</v>
      </c>
      <c r="B11" s="47"/>
      <c r="C11" s="43">
        <f>13387.67-2343.55+2343.55</f>
        <v>13387.669999999998</v>
      </c>
      <c r="D11" s="44"/>
      <c r="E11" s="43">
        <f>18219.14+12510.54+136343.66+34063.74+97401.94+131709.98+34063.72+3643.83+36438.3+14575.33+14332.31</f>
        <v>533302.49</v>
      </c>
      <c r="F11" s="44"/>
      <c r="G11" s="44">
        <v>0</v>
      </c>
      <c r="H11" s="44"/>
    </row>
    <row r="12" spans="1:8" ht="25.5" customHeight="1">
      <c r="A12" s="47" t="s">
        <v>4</v>
      </c>
      <c r="B12" s="47"/>
      <c r="C12" s="43">
        <f>545088.36-E12</f>
        <v>11785.869999999995</v>
      </c>
      <c r="D12" s="44"/>
      <c r="E12" s="43">
        <f>E11</f>
        <v>533302.49</v>
      </c>
      <c r="F12" s="44"/>
      <c r="G12" s="44">
        <v>0</v>
      </c>
      <c r="H12" s="44"/>
    </row>
    <row r="13" spans="1:8" ht="56.25" customHeight="1">
      <c r="A13" s="47" t="s">
        <v>5</v>
      </c>
      <c r="B13" s="47"/>
      <c r="C13" s="43">
        <v>138646.28</v>
      </c>
      <c r="D13" s="44"/>
      <c r="E13" s="44" t="s">
        <v>78</v>
      </c>
      <c r="F13" s="44"/>
      <c r="G13" s="44">
        <v>0</v>
      </c>
      <c r="H13" s="44"/>
    </row>
    <row r="14" spans="1:8" ht="50.25" customHeight="1">
      <c r="A14" s="47" t="s">
        <v>6</v>
      </c>
      <c r="B14" s="47"/>
      <c r="C14" s="43">
        <v>54487</v>
      </c>
      <c r="D14" s="44"/>
      <c r="E14" s="43">
        <f>E11</f>
        <v>533302.49</v>
      </c>
      <c r="F14" s="44"/>
      <c r="G14" s="44">
        <v>0</v>
      </c>
      <c r="H14" s="44"/>
    </row>
    <row r="15" spans="1:8" ht="122.25" customHeight="1">
      <c r="A15" s="47" t="s">
        <v>12</v>
      </c>
      <c r="B15" s="47"/>
      <c r="C15" s="43">
        <f>C10+C11-C14</f>
        <v>-3411.480000000003</v>
      </c>
      <c r="D15" s="44"/>
      <c r="E15" s="44">
        <v>0</v>
      </c>
      <c r="F15" s="44"/>
      <c r="G15" s="44">
        <v>0</v>
      </c>
      <c r="H15" s="44"/>
    </row>
    <row r="16" spans="1:2" ht="15.75">
      <c r="A16" s="32"/>
      <c r="B16" s="32"/>
    </row>
    <row r="17" spans="1:2" ht="15.75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K15" sqref="K15"/>
    </sheetView>
  </sheetViews>
  <sheetFormatPr defaultColWidth="9.140625" defaultRowHeight="12.75"/>
  <cols>
    <col min="2" max="2" width="13.57421875" style="0" customWidth="1"/>
    <col min="4" max="4" width="12.7109375" style="0" customWidth="1"/>
  </cols>
  <sheetData>
    <row r="1" spans="1:8" ht="15">
      <c r="A1" s="35" t="s">
        <v>29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95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15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15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.75" customHeight="1">
      <c r="A10" s="41" t="s">
        <v>27</v>
      </c>
      <c r="B10" s="42"/>
      <c r="C10" s="43">
        <v>-255735.13</v>
      </c>
      <c r="D10" s="44"/>
      <c r="E10" s="45"/>
      <c r="F10" s="46"/>
      <c r="G10" s="45">
        <v>0</v>
      </c>
      <c r="H10" s="46"/>
    </row>
    <row r="11" spans="1:8" ht="16.5" customHeight="1">
      <c r="A11" s="47" t="s">
        <v>3</v>
      </c>
      <c r="B11" s="47"/>
      <c r="C11" s="43">
        <f>153544.15+36952.16</f>
        <v>190496.31</v>
      </c>
      <c r="D11" s="44"/>
      <c r="E11" s="43">
        <f>17587.63+11709.6+98980.86+122721.43+36952.19+3641.58-72.99+36172.51+13641.96+13414.59</f>
        <v>354749.36000000004</v>
      </c>
      <c r="F11" s="44"/>
      <c r="G11" s="44">
        <v>0</v>
      </c>
      <c r="H11" s="44"/>
    </row>
    <row r="12" spans="1:8" ht="15.75" customHeight="1">
      <c r="A12" s="47" t="s">
        <v>4</v>
      </c>
      <c r="B12" s="47"/>
      <c r="C12" s="43">
        <f>663193.9-E12-135077.67-36952.18</f>
        <v>136414.68999999997</v>
      </c>
      <c r="D12" s="44"/>
      <c r="E12" s="43">
        <f>E11</f>
        <v>354749.36000000004</v>
      </c>
      <c r="F12" s="44"/>
      <c r="G12" s="44">
        <v>0</v>
      </c>
      <c r="H12" s="44"/>
    </row>
    <row r="13" spans="1:8" ht="48" customHeight="1">
      <c r="A13" s="47" t="s">
        <v>5</v>
      </c>
      <c r="B13" s="47"/>
      <c r="C13" s="43">
        <v>285346.21</v>
      </c>
      <c r="D13" s="44"/>
      <c r="E13" s="44">
        <v>0</v>
      </c>
      <c r="F13" s="44"/>
      <c r="G13" s="44">
        <v>0</v>
      </c>
      <c r="H13" s="44"/>
    </row>
    <row r="14" spans="1:8" ht="51.75" customHeight="1">
      <c r="A14" s="49" t="s">
        <v>6</v>
      </c>
      <c r="B14" s="50"/>
      <c r="C14" s="43">
        <v>11653</v>
      </c>
      <c r="D14" s="44"/>
      <c r="E14" s="43">
        <f>E11</f>
        <v>354749.36000000004</v>
      </c>
      <c r="F14" s="44"/>
      <c r="G14" s="44">
        <v>0</v>
      </c>
      <c r="H14" s="44"/>
    </row>
    <row r="15" spans="1:8" ht="141.75" customHeight="1">
      <c r="A15" s="49" t="s">
        <v>12</v>
      </c>
      <c r="B15" s="50"/>
      <c r="C15" s="43">
        <f>C10+C11-C14</f>
        <v>-76891.82</v>
      </c>
      <c r="D15" s="44"/>
      <c r="E15" s="44">
        <v>0</v>
      </c>
      <c r="F15" s="44"/>
      <c r="G15" s="44">
        <v>0</v>
      </c>
      <c r="H15" s="44"/>
    </row>
    <row r="16" spans="1:2" ht="15.75">
      <c r="A16" s="32"/>
      <c r="B16" s="32"/>
    </row>
    <row r="17" spans="1:2" ht="15.75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85" zoomScaleSheetLayoutView="85" zoomScalePageLayoutView="0" workbookViewId="0" topLeftCell="A7">
      <selection activeCell="C15" sqref="C15:D15"/>
    </sheetView>
  </sheetViews>
  <sheetFormatPr defaultColWidth="9.140625" defaultRowHeight="12.75"/>
  <cols>
    <col min="2" max="2" width="14.7109375" style="0" customWidth="1"/>
  </cols>
  <sheetData>
    <row r="1" spans="1:8" ht="15">
      <c r="A1" s="35" t="s">
        <v>96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97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15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15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1.5" customHeight="1">
      <c r="A10" s="41" t="s">
        <v>27</v>
      </c>
      <c r="B10" s="42"/>
      <c r="C10" s="43">
        <v>13700.29</v>
      </c>
      <c r="D10" s="44"/>
      <c r="E10" s="45" t="s">
        <v>78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243028.32</v>
      </c>
      <c r="D11" s="44"/>
      <c r="E11" s="43">
        <f>910820.91-200385.93-243028.32</f>
        <v>467406.66</v>
      </c>
      <c r="F11" s="44"/>
      <c r="G11" s="44">
        <v>0</v>
      </c>
      <c r="H11" s="44"/>
    </row>
    <row r="12" spans="1:8" ht="13.5" customHeight="1">
      <c r="A12" s="47" t="s">
        <v>4</v>
      </c>
      <c r="B12" s="47"/>
      <c r="C12" s="43">
        <f>862909.86-E12-200385.93</f>
        <v>195117.27000000002</v>
      </c>
      <c r="D12" s="44"/>
      <c r="E12" s="43">
        <f>E11</f>
        <v>467406.66</v>
      </c>
      <c r="F12" s="44"/>
      <c r="G12" s="44">
        <v>0</v>
      </c>
      <c r="H12" s="44"/>
    </row>
    <row r="13" spans="1:8" ht="57" customHeight="1">
      <c r="A13" s="47" t="s">
        <v>5</v>
      </c>
      <c r="B13" s="47"/>
      <c r="C13" s="43">
        <v>231364.83</v>
      </c>
      <c r="D13" s="44"/>
      <c r="E13" s="44">
        <v>0</v>
      </c>
      <c r="F13" s="44"/>
      <c r="G13" s="44">
        <v>0</v>
      </c>
      <c r="H13" s="44"/>
    </row>
    <row r="14" spans="1:8" ht="44.25" customHeight="1">
      <c r="A14" s="47" t="s">
        <v>6</v>
      </c>
      <c r="B14" s="47"/>
      <c r="C14" s="43">
        <v>357933</v>
      </c>
      <c r="D14" s="44"/>
      <c r="E14" s="43">
        <f>E11</f>
        <v>467406.66</v>
      </c>
      <c r="F14" s="44"/>
      <c r="G14" s="44">
        <v>0</v>
      </c>
      <c r="H14" s="44"/>
    </row>
    <row r="15" spans="1:8" ht="99" customHeight="1">
      <c r="A15" s="47" t="s">
        <v>12</v>
      </c>
      <c r="B15" s="47"/>
      <c r="C15" s="43">
        <f>C10+C11-C14</f>
        <v>-101204.38999999998</v>
      </c>
      <c r="D15" s="44"/>
      <c r="E15" s="44">
        <v>0</v>
      </c>
      <c r="F15" s="44"/>
      <c r="G15" s="44">
        <v>0</v>
      </c>
      <c r="H15" s="44"/>
    </row>
    <row r="16" spans="1:2" ht="15.75">
      <c r="A16" s="32"/>
      <c r="B16" s="32"/>
    </row>
    <row r="17" spans="1:2" ht="15.75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2">
      <selection activeCell="C15" sqref="C15:D15"/>
    </sheetView>
  </sheetViews>
  <sheetFormatPr defaultColWidth="9.140625" defaultRowHeight="12.75"/>
  <cols>
    <col min="2" max="2" width="14.8515625" style="0" customWidth="1"/>
  </cols>
  <sheetData>
    <row r="1" spans="1:8" ht="15">
      <c r="A1" s="35" t="s">
        <v>30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151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15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15">
      <c r="A9" s="29"/>
      <c r="B9" s="29"/>
      <c r="C9" s="30" t="s">
        <v>0</v>
      </c>
      <c r="D9" s="30"/>
      <c r="E9" s="30" t="s">
        <v>1</v>
      </c>
      <c r="F9" s="30"/>
      <c r="G9" s="30" t="s">
        <v>2</v>
      </c>
      <c r="H9" s="30"/>
    </row>
    <row r="10" spans="1:8" ht="35.25" customHeight="1">
      <c r="A10" s="20" t="s">
        <v>27</v>
      </c>
      <c r="B10" s="21"/>
      <c r="C10" s="22">
        <v>-261710.43</v>
      </c>
      <c r="D10" s="23"/>
      <c r="E10" s="24"/>
      <c r="F10" s="25"/>
      <c r="G10" s="24">
        <v>0</v>
      </c>
      <c r="H10" s="25"/>
    </row>
    <row r="11" spans="1:8" ht="16.5" customHeight="1">
      <c r="A11" s="26" t="s">
        <v>3</v>
      </c>
      <c r="B11" s="26"/>
      <c r="C11" s="22">
        <v>197439.22</v>
      </c>
      <c r="D11" s="23"/>
      <c r="E11" s="22">
        <v>364890.4</v>
      </c>
      <c r="F11" s="23"/>
      <c r="G11" s="23">
        <v>0</v>
      </c>
      <c r="H11" s="23"/>
    </row>
    <row r="12" spans="1:8" ht="15">
      <c r="A12" s="26" t="s">
        <v>4</v>
      </c>
      <c r="B12" s="26"/>
      <c r="C12" s="22">
        <v>198671.35</v>
      </c>
      <c r="D12" s="23"/>
      <c r="E12" s="22">
        <f>E11</f>
        <v>364890.4</v>
      </c>
      <c r="F12" s="23"/>
      <c r="G12" s="23">
        <v>0</v>
      </c>
      <c r="H12" s="23"/>
    </row>
    <row r="13" spans="1:8" ht="76.5" customHeight="1">
      <c r="A13" s="51" t="s">
        <v>5</v>
      </c>
      <c r="B13" s="63"/>
      <c r="C13" s="22">
        <v>268596.5</v>
      </c>
      <c r="D13" s="23"/>
      <c r="E13" s="23">
        <v>0</v>
      </c>
      <c r="F13" s="23"/>
      <c r="G13" s="23"/>
      <c r="H13" s="23"/>
    </row>
    <row r="14" spans="1:8" ht="48.75" customHeight="1">
      <c r="A14" s="51" t="s">
        <v>6</v>
      </c>
      <c r="B14" s="63"/>
      <c r="C14" s="22">
        <v>111477</v>
      </c>
      <c r="D14" s="23"/>
      <c r="E14" s="22">
        <f>E12</f>
        <v>364890.4</v>
      </c>
      <c r="F14" s="23"/>
      <c r="G14" s="23">
        <v>0</v>
      </c>
      <c r="H14" s="23"/>
    </row>
    <row r="15" spans="1:8" ht="123" customHeight="1">
      <c r="A15" s="51" t="s">
        <v>12</v>
      </c>
      <c r="B15" s="63"/>
      <c r="C15" s="22">
        <f>C10+C11-C14</f>
        <v>-175748.21</v>
      </c>
      <c r="D15" s="23"/>
      <c r="E15" s="23">
        <v>0</v>
      </c>
      <c r="F15" s="23"/>
      <c r="G15" s="23">
        <v>0</v>
      </c>
      <c r="H15" s="23"/>
    </row>
    <row r="16" spans="1:2" ht="15.75">
      <c r="A16" s="32"/>
      <c r="B16" s="32"/>
    </row>
    <row r="17" spans="1:2" ht="15.75">
      <c r="A17" s="32"/>
      <c r="B17" s="32"/>
    </row>
    <row r="18" spans="1:2" ht="14.25">
      <c r="A18" s="31" t="s">
        <v>10</v>
      </c>
      <c r="B18" s="31"/>
    </row>
    <row r="19" spans="1:2" ht="14.25">
      <c r="A19" s="1"/>
      <c r="B19" s="1"/>
    </row>
    <row r="20" spans="1:2" ht="14.25">
      <c r="A20" s="1"/>
      <c r="B20" s="1"/>
    </row>
    <row r="21" spans="1:2" ht="14.25">
      <c r="A21" s="31"/>
      <c r="B21" s="31"/>
    </row>
    <row r="22" spans="1:2" ht="14.25">
      <c r="A22" s="1"/>
      <c r="B22" s="1"/>
    </row>
    <row r="23" spans="1:4" ht="14.25">
      <c r="A23" s="31" t="s">
        <v>11</v>
      </c>
      <c r="B23" s="31"/>
      <c r="C23" s="31"/>
      <c r="D23" s="31"/>
    </row>
    <row r="24" spans="1:2" ht="14.25">
      <c r="A24" s="1"/>
      <c r="B24" s="1"/>
    </row>
    <row r="25" spans="1:2" ht="14.25">
      <c r="A25" s="31" t="s">
        <v>33</v>
      </c>
      <c r="B25" s="31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4.57421875" style="0" customWidth="1"/>
  </cols>
  <sheetData>
    <row r="1" spans="1:8" ht="15">
      <c r="A1" s="35" t="s">
        <v>31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98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15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15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8.5" customHeight="1">
      <c r="A10" s="41" t="s">
        <v>27</v>
      </c>
      <c r="B10" s="42"/>
      <c r="C10" s="43">
        <v>-196651.95</v>
      </c>
      <c r="D10" s="44"/>
      <c r="E10" s="45"/>
      <c r="F10" s="46"/>
      <c r="G10" s="45">
        <v>0</v>
      </c>
      <c r="H10" s="46"/>
    </row>
    <row r="11" spans="1:8" ht="15">
      <c r="A11" s="47" t="s">
        <v>3</v>
      </c>
      <c r="B11" s="47"/>
      <c r="C11" s="43">
        <v>154539.98</v>
      </c>
      <c r="D11" s="44"/>
      <c r="E11" s="43">
        <v>365259.31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v>151509.32</v>
      </c>
      <c r="D12" s="44"/>
      <c r="E12" s="43">
        <f>E11</f>
        <v>365259.31</v>
      </c>
      <c r="F12" s="44"/>
      <c r="G12" s="44">
        <v>0</v>
      </c>
      <c r="H12" s="44"/>
    </row>
    <row r="13" spans="1:8" ht="49.5" customHeight="1">
      <c r="A13" s="47" t="s">
        <v>5</v>
      </c>
      <c r="B13" s="47"/>
      <c r="C13" s="43">
        <v>193822.7</v>
      </c>
      <c r="D13" s="44"/>
      <c r="E13" s="44">
        <v>0</v>
      </c>
      <c r="F13" s="44"/>
      <c r="G13" s="44">
        <v>0</v>
      </c>
      <c r="H13" s="44"/>
    </row>
    <row r="14" spans="1:8" ht="30.75" customHeight="1">
      <c r="A14" s="47" t="s">
        <v>6</v>
      </c>
      <c r="B14" s="47"/>
      <c r="C14" s="43">
        <v>230765.5</v>
      </c>
      <c r="D14" s="44"/>
      <c r="E14" s="43">
        <f>E11</f>
        <v>365259.31</v>
      </c>
      <c r="F14" s="44"/>
      <c r="G14" s="44">
        <v>0</v>
      </c>
      <c r="H14" s="44"/>
    </row>
    <row r="15" spans="1:8" ht="96" customHeight="1">
      <c r="A15" s="47" t="s">
        <v>12</v>
      </c>
      <c r="B15" s="47"/>
      <c r="C15" s="43">
        <f>C10+C11-C14</f>
        <v>-272877.47</v>
      </c>
      <c r="D15" s="44"/>
      <c r="E15" s="44">
        <v>0</v>
      </c>
      <c r="F15" s="44"/>
      <c r="G15" s="44">
        <v>0</v>
      </c>
      <c r="H15" s="44"/>
    </row>
    <row r="16" spans="1:2" ht="15.75">
      <c r="A16" s="32"/>
      <c r="B16" s="32"/>
    </row>
    <row r="17" spans="1:2" ht="15.75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5" zoomScaleSheetLayoutView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99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100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27</v>
      </c>
      <c r="B10" s="42"/>
      <c r="C10" s="62">
        <v>-27696.31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f>107757.84+83244.08</f>
        <v>191001.91999999998</v>
      </c>
      <c r="D11" s="44"/>
      <c r="E11" s="43">
        <f>13632+286072.44+15881.76+15617.04</f>
        <v>331203.24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500288.6-E12</f>
        <v>169085.36</v>
      </c>
      <c r="D12" s="44"/>
      <c r="E12" s="43">
        <f>E11</f>
        <v>331203.24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110468.24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114652</v>
      </c>
      <c r="D14" s="44"/>
      <c r="E14" s="43">
        <f>E12</f>
        <v>331203.24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48653.609999999986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48"/>
      <c r="B20" s="48"/>
    </row>
    <row r="21" spans="1:2" ht="14.25">
      <c r="A21" s="9"/>
      <c r="B21" s="9"/>
    </row>
    <row r="22" spans="1:2" ht="14.25">
      <c r="A22" s="48"/>
      <c r="B22" s="48"/>
    </row>
    <row r="23" spans="1:2" ht="14.25">
      <c r="A23" s="9"/>
      <c r="B23" s="9"/>
    </row>
    <row r="24" spans="1:4" ht="14.25">
      <c r="A24" s="48" t="s">
        <v>11</v>
      </c>
      <c r="B24" s="48"/>
      <c r="C24" s="48"/>
      <c r="D24" s="48"/>
    </row>
    <row r="25" spans="1:2" ht="14.25">
      <c r="A25" s="9"/>
      <c r="B25" s="9"/>
    </row>
    <row r="26" spans="1:2" ht="14.25">
      <c r="A26" s="48" t="s">
        <v>35</v>
      </c>
      <c r="B26" s="48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</sheetData>
  <sheetProtection/>
  <mergeCells count="41">
    <mergeCell ref="A26:B26"/>
    <mergeCell ref="A28:G28"/>
    <mergeCell ref="A29:G29"/>
    <mergeCell ref="A16:B16"/>
    <mergeCell ref="A17:B17"/>
    <mergeCell ref="A18:B18"/>
    <mergeCell ref="A20:B20"/>
    <mergeCell ref="A22:B22"/>
    <mergeCell ref="A24:D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6">
      <selection activeCell="F31" sqref="F31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101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102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" customHeight="1">
      <c r="A10" s="41" t="s">
        <v>27</v>
      </c>
      <c r="B10" s="42"/>
      <c r="C10" s="62">
        <v>-122662.24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f>84364.72</f>
        <v>84364.72</v>
      </c>
      <c r="D11" s="44"/>
      <c r="E11" s="43">
        <f>3454.56+5307.75+42925.47+66611.48+3091.86+15443.1+6183.72+6080.7+62400</f>
        <v>211498.64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301996.66-72632.77-E12</f>
        <v>17865.24999999994</v>
      </c>
      <c r="D12" s="44"/>
      <c r="E12" s="43">
        <f>E11</f>
        <v>211498.64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36097.07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41524</v>
      </c>
      <c r="D14" s="44"/>
      <c r="E14" s="43">
        <f>E12</f>
        <v>211498.64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-79821.52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8" ht="56.25" customHeight="1">
      <c r="A17" s="34" t="s">
        <v>103</v>
      </c>
      <c r="B17" s="34"/>
      <c r="C17" s="34"/>
      <c r="D17" s="34"/>
      <c r="E17" s="34"/>
      <c r="F17" s="34"/>
      <c r="G17" s="34"/>
      <c r="H17" s="34"/>
    </row>
    <row r="18" spans="1:8" ht="13.5" customHeight="1">
      <c r="A18" s="6"/>
      <c r="B18" s="6"/>
      <c r="C18" s="6"/>
      <c r="D18" s="6"/>
      <c r="E18" s="6"/>
      <c r="F18" s="6"/>
      <c r="G18" s="6"/>
      <c r="H18" s="6"/>
    </row>
    <row r="19" spans="1:3" ht="14.25">
      <c r="A19" s="48" t="s">
        <v>10</v>
      </c>
      <c r="B19" s="48"/>
      <c r="C19" s="11"/>
    </row>
    <row r="20" spans="1:2" ht="14.25">
      <c r="A20" s="9"/>
      <c r="B20" s="9"/>
    </row>
    <row r="21" spans="1:4" ht="14.25">
      <c r="A21" s="48" t="s">
        <v>11</v>
      </c>
      <c r="B21" s="48"/>
      <c r="C21" s="48"/>
      <c r="D21" s="48"/>
    </row>
    <row r="22" spans="1:2" ht="14.25">
      <c r="A22" s="9"/>
      <c r="B22" s="9"/>
    </row>
    <row r="23" spans="1:2" ht="14.25">
      <c r="A23" s="48" t="s">
        <v>33</v>
      </c>
      <c r="B23" s="48"/>
    </row>
    <row r="25" spans="1:8" ht="12.75">
      <c r="A25" s="33"/>
      <c r="B25" s="33"/>
      <c r="C25" s="33"/>
      <c r="D25" s="33"/>
      <c r="E25" s="33"/>
      <c r="F25" s="33"/>
      <c r="G25" s="33"/>
      <c r="H25" s="33"/>
    </row>
    <row r="26" spans="1:5" ht="12.75">
      <c r="A26" s="68" t="s">
        <v>146</v>
      </c>
      <c r="B26" s="68"/>
      <c r="C26" s="68"/>
      <c r="D26" s="68"/>
      <c r="E26" s="13">
        <v>10826</v>
      </c>
    </row>
    <row r="27" spans="1:5" ht="12.75">
      <c r="A27" s="68" t="s">
        <v>147</v>
      </c>
      <c r="B27" s="68"/>
      <c r="C27" s="68"/>
      <c r="D27" s="68"/>
      <c r="E27" s="13">
        <v>8341</v>
      </c>
    </row>
    <row r="28" spans="1:6" ht="27" customHeight="1">
      <c r="A28" s="64" t="s">
        <v>148</v>
      </c>
      <c r="B28" s="64"/>
      <c r="C28" s="64"/>
      <c r="D28" s="64"/>
      <c r="E28" s="14">
        <v>2485</v>
      </c>
      <c r="F28" s="12" t="s">
        <v>150</v>
      </c>
    </row>
    <row r="29" spans="1:5" ht="12.75">
      <c r="A29" s="65" t="s">
        <v>152</v>
      </c>
      <c r="B29" s="66"/>
      <c r="C29" s="66"/>
      <c r="D29" s="67"/>
      <c r="E29" s="13">
        <v>53</v>
      </c>
    </row>
    <row r="30" spans="1:6" ht="12.75">
      <c r="A30" s="69" t="s">
        <v>149</v>
      </c>
      <c r="B30" s="69"/>
      <c r="C30" s="69"/>
      <c r="D30" s="69"/>
      <c r="E30" s="15">
        <f>E28+E29</f>
        <v>2538</v>
      </c>
      <c r="F30" s="12" t="s">
        <v>153</v>
      </c>
    </row>
  </sheetData>
  <sheetProtection/>
  <mergeCells count="43">
    <mergeCell ref="A15:B15"/>
    <mergeCell ref="C15:D15"/>
    <mergeCell ref="E15:F15"/>
    <mergeCell ref="G15:H15"/>
    <mergeCell ref="A25:H25"/>
    <mergeCell ref="A16:B16"/>
    <mergeCell ref="A17:H17"/>
    <mergeCell ref="A19:B19"/>
    <mergeCell ref="A21:D21"/>
    <mergeCell ref="A23:B23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C9:D9"/>
    <mergeCell ref="E9:F9"/>
    <mergeCell ref="G9:H9"/>
    <mergeCell ref="A10:B10"/>
    <mergeCell ref="C10:D10"/>
    <mergeCell ref="E10:F10"/>
    <mergeCell ref="G10:H10"/>
    <mergeCell ref="A28:D28"/>
    <mergeCell ref="A29:D29"/>
    <mergeCell ref="A27:D27"/>
    <mergeCell ref="A30:D30"/>
    <mergeCell ref="A26:D26"/>
    <mergeCell ref="A1:H1"/>
    <mergeCell ref="A2:H2"/>
    <mergeCell ref="A5:H5"/>
    <mergeCell ref="A7:H7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6">
      <selection activeCell="A27" sqref="A27:G28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104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105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1.5" customHeight="1">
      <c r="A10" s="41" t="s">
        <v>27</v>
      </c>
      <c r="B10" s="42"/>
      <c r="C10" s="62">
        <v>-449961.74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184776.43</v>
      </c>
      <c r="D11" s="44"/>
      <c r="E11" s="43">
        <f>35342.92+17398.47+369069.37+10134.9+20269.8+19931.97</f>
        <v>472147.43000000005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638801.3-E12</f>
        <v>166653.87</v>
      </c>
      <c r="D12" s="44"/>
      <c r="E12" s="43">
        <f>E11</f>
        <v>472147.43000000005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189162.71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357800.33</v>
      </c>
      <c r="D14" s="44"/>
      <c r="E14" s="43">
        <f>E12</f>
        <v>472147.43000000005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-622985.64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</sheetData>
  <sheetProtection/>
  <mergeCells count="40">
    <mergeCell ref="A27:G27"/>
    <mergeCell ref="A28:G28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7" sqref="A27:G28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106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107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81</v>
      </c>
      <c r="B10" s="42"/>
      <c r="C10" s="62">
        <v>-137639.52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0</v>
      </c>
      <c r="D11" s="44"/>
      <c r="E11" s="43">
        <v>535787.55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v>0</v>
      </c>
      <c r="D12" s="44"/>
      <c r="E12" s="43">
        <v>532644.02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0</v>
      </c>
      <c r="D13" s="44"/>
      <c r="E13" s="44">
        <v>85287.17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52717</v>
      </c>
      <c r="D14" s="44"/>
      <c r="E14" s="43">
        <v>535787.55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-190356.52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</sheetData>
  <sheetProtection/>
  <mergeCells count="40">
    <mergeCell ref="A27:G27"/>
    <mergeCell ref="A28:G28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108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109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81</v>
      </c>
      <c r="B10" s="42"/>
      <c r="C10" s="62">
        <v>-346754.64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242323.95</v>
      </c>
      <c r="D11" s="44"/>
      <c r="E11" s="43">
        <f>36601.38+15218.63+323446.34+6652.17+17730.36+17434.82</f>
        <v>417083.7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643506.21-E12</f>
        <v>226422.50999999995</v>
      </c>
      <c r="D12" s="44"/>
      <c r="E12" s="43">
        <f>E11</f>
        <v>417083.7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108126.79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376221.12</v>
      </c>
      <c r="D14" s="44"/>
      <c r="E14" s="43">
        <f>E12</f>
        <v>417083.7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-480651.81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85" zoomScaleSheetLayoutView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42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145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27</v>
      </c>
      <c r="B10" s="42"/>
      <c r="C10" s="43">
        <v>-219628.53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106193.68</v>
      </c>
      <c r="D11" s="44"/>
      <c r="E11" s="43">
        <f>4367.88+6667.02+53918.43+27967.52+60303.53+2183.94+3642.3+5138.2+7767.36+7637.79</f>
        <v>179593.97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286416.71-E12</f>
        <v>106822.74000000002</v>
      </c>
      <c r="D12" s="44"/>
      <c r="E12" s="43">
        <f>E11</f>
        <v>179593.97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26612.58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261111</v>
      </c>
      <c r="D14" s="44"/>
      <c r="E14" s="43">
        <f>E12</f>
        <v>179593.97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-374545.85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48"/>
      <c r="B20" s="48"/>
    </row>
    <row r="21" spans="1:2" ht="14.25">
      <c r="A21" s="9"/>
      <c r="B21" s="9"/>
    </row>
    <row r="22" spans="1:2" ht="14.25">
      <c r="A22" s="48"/>
      <c r="B22" s="48"/>
    </row>
    <row r="23" spans="1:2" ht="14.25">
      <c r="A23" s="9"/>
      <c r="B23" s="9"/>
    </row>
    <row r="24" spans="1:4" ht="14.25">
      <c r="A24" s="48" t="s">
        <v>11</v>
      </c>
      <c r="B24" s="48"/>
      <c r="C24" s="48"/>
      <c r="D24" s="48"/>
    </row>
    <row r="25" spans="1:2" ht="14.25">
      <c r="A25" s="9"/>
      <c r="B25" s="9"/>
    </row>
    <row r="26" spans="1:2" ht="14.25">
      <c r="A26" s="48" t="s">
        <v>36</v>
      </c>
      <c r="B26" s="48"/>
    </row>
  </sheetData>
  <sheetProtection/>
  <mergeCells count="39">
    <mergeCell ref="A26:B26"/>
    <mergeCell ref="A16:B16"/>
    <mergeCell ref="A17:B17"/>
    <mergeCell ref="A18:B18"/>
    <mergeCell ref="A20:B20"/>
    <mergeCell ref="A22:B22"/>
    <mergeCell ref="A24:D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110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111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81</v>
      </c>
      <c r="B10" s="42"/>
      <c r="C10" s="62">
        <v>-23178.32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f>7213.32+10800.72</f>
        <v>18014.04</v>
      </c>
      <c r="D11" s="44"/>
      <c r="E11" s="43">
        <f>1986.66+42219.23+2314.44+2275.89</f>
        <v>48796.22000000001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64885.16-E12</f>
        <v>16088.939999999995</v>
      </c>
      <c r="D12" s="44"/>
      <c r="E12" s="43">
        <f>E11</f>
        <v>48796.22000000001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14220.54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33462</v>
      </c>
      <c r="D14" s="44"/>
      <c r="E14" s="43">
        <f>E11</f>
        <v>48796.22000000001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-38626.28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112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113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27</v>
      </c>
      <c r="B10" s="42"/>
      <c r="C10" s="62">
        <v>-10835.47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70078.89</v>
      </c>
      <c r="D11" s="44"/>
      <c r="E11" s="43">
        <f>4401.24+93538.29+5127.66+5042.12</f>
        <v>108109.31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171835.9-E12</f>
        <v>63726.59</v>
      </c>
      <c r="D12" s="44"/>
      <c r="E12" s="43">
        <f>E11</f>
        <v>108109.31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27142.31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58347</v>
      </c>
      <c r="D14" s="44"/>
      <c r="E14" s="43">
        <f>E11</f>
        <v>108109.31</v>
      </c>
      <c r="F14" s="44"/>
      <c r="G14" s="44">
        <v>0</v>
      </c>
      <c r="H14" s="44"/>
    </row>
    <row r="15" spans="1:9" ht="92.25" customHeight="1">
      <c r="A15" s="47" t="s">
        <v>12</v>
      </c>
      <c r="B15" s="47"/>
      <c r="C15" s="43">
        <f>C10+C11-C14</f>
        <v>896.4199999999983</v>
      </c>
      <c r="D15" s="44"/>
      <c r="E15" s="44">
        <v>0</v>
      </c>
      <c r="F15" s="44"/>
      <c r="G15" s="44">
        <v>0</v>
      </c>
      <c r="H15" s="44"/>
      <c r="I15" t="s">
        <v>73</v>
      </c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</sheetData>
  <sheetProtection/>
  <mergeCells count="40">
    <mergeCell ref="A28:G28"/>
    <mergeCell ref="A29:G29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114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115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8.5" customHeight="1">
      <c r="A10" s="41" t="s">
        <v>27</v>
      </c>
      <c r="B10" s="42"/>
      <c r="C10" s="62">
        <v>74672.8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20764.86</v>
      </c>
      <c r="D11" s="44"/>
      <c r="E11" s="43">
        <f>7824.83+63282.37+103470.24+9116.28+8964.29</f>
        <v>192658.01</v>
      </c>
      <c r="F11" s="44"/>
      <c r="G11" s="59"/>
      <c r="H11" s="59"/>
    </row>
    <row r="12" spans="1:8" ht="15">
      <c r="A12" s="47" t="s">
        <v>4</v>
      </c>
      <c r="B12" s="47"/>
      <c r="C12" s="43">
        <v>0</v>
      </c>
      <c r="D12" s="44"/>
      <c r="E12" s="43">
        <v>185397.95</v>
      </c>
      <c r="F12" s="44"/>
      <c r="G12" s="44"/>
      <c r="H12" s="44"/>
    </row>
    <row r="13" spans="1:8" ht="47.25" customHeight="1">
      <c r="A13" s="47" t="s">
        <v>5</v>
      </c>
      <c r="B13" s="47"/>
      <c r="C13" s="43">
        <f>92000.09-E13</f>
        <v>84740.03</v>
      </c>
      <c r="D13" s="44"/>
      <c r="E13" s="43">
        <f>E11-E12</f>
        <v>7260.059999999998</v>
      </c>
      <c r="F13" s="44"/>
      <c r="G13" s="44"/>
      <c r="H13" s="44"/>
    </row>
    <row r="14" spans="1:8" ht="33" customHeight="1">
      <c r="A14" s="47" t="s">
        <v>6</v>
      </c>
      <c r="B14" s="47"/>
      <c r="C14" s="43">
        <v>113086</v>
      </c>
      <c r="D14" s="44"/>
      <c r="E14" s="43">
        <v>192658.01</v>
      </c>
      <c r="F14" s="44"/>
      <c r="G14" s="44"/>
      <c r="H14" s="44"/>
    </row>
    <row r="15" spans="1:8" ht="92.25" customHeight="1">
      <c r="A15" s="47" t="s">
        <v>12</v>
      </c>
      <c r="B15" s="47"/>
      <c r="C15" s="43">
        <f>C10+C11-C14</f>
        <v>-17648.339999999997</v>
      </c>
      <c r="D15" s="44"/>
      <c r="E15" s="44">
        <v>0</v>
      </c>
      <c r="F15" s="44"/>
      <c r="G15" s="44"/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9"/>
      <c r="B21" s="9"/>
    </row>
    <row r="22" spans="1:2" ht="14.25">
      <c r="A22" s="48"/>
      <c r="B22" s="48"/>
    </row>
    <row r="23" spans="1:2" ht="14.25">
      <c r="A23" s="9"/>
      <c r="B23" s="9"/>
    </row>
    <row r="24" spans="1:4" ht="14.25">
      <c r="A24" s="48" t="s">
        <v>11</v>
      </c>
      <c r="B24" s="48"/>
      <c r="C24" s="48"/>
      <c r="D24" s="48"/>
    </row>
    <row r="25" spans="1:2" ht="14.25">
      <c r="A25" s="9"/>
      <c r="B25" s="9"/>
    </row>
    <row r="26" spans="1:2" ht="14.25">
      <c r="A26" s="48" t="s">
        <v>33</v>
      </c>
      <c r="B26" s="48"/>
    </row>
  </sheetData>
  <sheetProtection/>
  <mergeCells count="38">
    <mergeCell ref="A16:B16"/>
    <mergeCell ref="A17:B17"/>
    <mergeCell ref="A18:B18"/>
    <mergeCell ref="A22:B22"/>
    <mergeCell ref="A24:D24"/>
    <mergeCell ref="A26:B26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116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117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" customHeight="1">
      <c r="A10" s="41" t="s">
        <v>27</v>
      </c>
      <c r="B10" s="42"/>
      <c r="C10" s="62">
        <v>-90531.22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74014.36</v>
      </c>
      <c r="D11" s="44"/>
      <c r="E11" s="43">
        <f>4648.53+98790.65+5415.81+5325.54</f>
        <v>114180.52999999998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173174.2-E12</f>
        <v>58993.67000000003</v>
      </c>
      <c r="D12" s="44"/>
      <c r="E12" s="43">
        <f>E11</f>
        <v>114180.52999999998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81290.22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145635</v>
      </c>
      <c r="D14" s="44"/>
      <c r="E14" s="43">
        <f>E11</f>
        <v>114180.52999999998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-162151.86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118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119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7.75" customHeight="1">
      <c r="A10" s="41" t="s">
        <v>27</v>
      </c>
      <c r="B10" s="42"/>
      <c r="C10" s="62">
        <v>22779.63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23443.93</v>
      </c>
      <c r="D11" s="44"/>
      <c r="E11" s="43">
        <f>1954.77+33745.22+2277.36+2239.41</f>
        <v>40216.759999999995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54540.59-E12</f>
        <v>14323.830000000002</v>
      </c>
      <c r="D12" s="44"/>
      <c r="E12" s="43">
        <f>E11</f>
        <v>40216.759999999995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50315.94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28459</v>
      </c>
      <c r="D14" s="44"/>
      <c r="E14" s="43">
        <f>E11</f>
        <v>40216.759999999995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17764.559999999998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35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SheetLayoutView="100" zoomScalePageLayoutView="0" workbookViewId="0" topLeftCell="A1">
      <selection activeCell="C14" sqref="C14:D14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7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120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7.75" customHeight="1">
      <c r="A10" s="41" t="s">
        <v>27</v>
      </c>
      <c r="B10" s="42"/>
      <c r="C10" s="43">
        <v>-37895.78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20301.96</v>
      </c>
      <c r="D11" s="44"/>
      <c r="E11" s="43">
        <f>1273.44+27106.65+1483.56+1458.81</f>
        <v>31322.460000000003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52073.43-E12</f>
        <v>20750.969999999998</v>
      </c>
      <c r="D12" s="44"/>
      <c r="E12" s="43">
        <f>E11</f>
        <v>31322.460000000003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5234.87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10593</v>
      </c>
      <c r="D14" s="44"/>
      <c r="E14" s="43">
        <f>E11</f>
        <v>31322.460000000003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-28186.82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36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C11" sqref="C11:D11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121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122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7.75" customHeight="1">
      <c r="A10" s="41" t="s">
        <v>27</v>
      </c>
      <c r="B10" s="42"/>
      <c r="C10" s="62">
        <v>-21293.41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22144.92</v>
      </c>
      <c r="D11" s="44"/>
      <c r="E11" s="43">
        <f>2781.55+22496.19+27546.12+3240.72+3186.72</f>
        <v>59251.3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69040.37-E12</f>
        <v>9789.069999999992</v>
      </c>
      <c r="D12" s="44"/>
      <c r="E12" s="43">
        <f>E11</f>
        <v>59251.3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16632.46</v>
      </c>
      <c r="D13" s="44"/>
      <c r="E13" s="44" t="s">
        <v>78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23630</v>
      </c>
      <c r="D14" s="44"/>
      <c r="E14" s="43">
        <f>E11</f>
        <v>59251.3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-22778.49</v>
      </c>
      <c r="D15" s="44"/>
      <c r="E15" s="44">
        <v>0</v>
      </c>
      <c r="F15" s="44"/>
      <c r="G15" s="44">
        <v>0</v>
      </c>
      <c r="H15" s="44"/>
    </row>
    <row r="16" spans="1:3" ht="13.5" customHeight="1">
      <c r="A16" s="32"/>
      <c r="B16" s="32"/>
      <c r="C16" s="10"/>
    </row>
    <row r="17" spans="1:3" ht="12.75" customHeight="1">
      <c r="A17" s="32"/>
      <c r="B17" s="32"/>
      <c r="C17" s="10"/>
    </row>
    <row r="18" spans="1:3" ht="14.25">
      <c r="A18" s="48" t="s">
        <v>10</v>
      </c>
      <c r="B18" s="48"/>
      <c r="C18" s="11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123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124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81</v>
      </c>
      <c r="B10" s="42"/>
      <c r="C10" s="62">
        <v>-45671.08</v>
      </c>
      <c r="D10" s="46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f>11288.64+10348.59</f>
        <v>21637.23</v>
      </c>
      <c r="D11" s="44"/>
      <c r="E11" s="43">
        <f>4031.7+2768.46+5348.67+14110.86+25893.73+4435.15+806.34+3010.32+2983.41</f>
        <v>63388.64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85591.02-E12</f>
        <v>22202.380000000005</v>
      </c>
      <c r="D12" s="44"/>
      <c r="E12" s="43">
        <f>E11</f>
        <v>63388.64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25537.87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22745</v>
      </c>
      <c r="D14" s="44"/>
      <c r="E14" s="43">
        <f>E11</f>
        <v>63388.64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-46778.850000000006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125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126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7.75" customHeight="1">
      <c r="A10" s="41" t="s">
        <v>27</v>
      </c>
      <c r="B10" s="42"/>
      <c r="C10" s="43">
        <v>49026.12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f>74663.46+38226.01</f>
        <v>112889.47</v>
      </c>
      <c r="D11" s="44"/>
      <c r="E11" s="43">
        <f>5414.76+9378.59+75847.26+136703.56+2707.38+13531.08+10926.36+10744.2</f>
        <v>265253.19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333964.69-E12</f>
        <v>68711.5</v>
      </c>
      <c r="D12" s="44"/>
      <c r="E12" s="43">
        <f>E11</f>
        <v>265253.19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112665.1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93354</v>
      </c>
      <c r="D14" s="44"/>
      <c r="E14" s="43">
        <f>E11</f>
        <v>265253.19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68561.59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20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127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7.75" customHeight="1">
      <c r="A10" s="41" t="s">
        <v>27</v>
      </c>
      <c r="B10" s="42"/>
      <c r="C10" s="43">
        <v>-316214.13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240732.32</v>
      </c>
      <c r="D11" s="44"/>
      <c r="E11" s="43">
        <f>678084.05-C11</f>
        <v>437351.73000000004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640761.16-E12</f>
        <v>203409.43</v>
      </c>
      <c r="D12" s="44"/>
      <c r="E12" s="43">
        <f>E11</f>
        <v>437351.73000000004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133209.54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316224.55</v>
      </c>
      <c r="D14" s="44"/>
      <c r="E14" s="43">
        <f>E11</f>
        <v>437351.73000000004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-391706.36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43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44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7.75" customHeight="1">
      <c r="A10" s="41" t="s">
        <v>27</v>
      </c>
      <c r="B10" s="42"/>
      <c r="C10" s="43">
        <v>-347358.25</v>
      </c>
      <c r="D10" s="43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43628.1</v>
      </c>
      <c r="D11" s="44"/>
      <c r="E11" s="43">
        <f>10344.56+2761.29+58125.43+1608.48+3216.96+3163.41</f>
        <v>79220.13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119221.77-E12</f>
        <v>40001.64</v>
      </c>
      <c r="D12" s="44"/>
      <c r="E12" s="43">
        <f>E11</f>
        <v>79220.13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21534.13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262941</v>
      </c>
      <c r="D14" s="44"/>
      <c r="E14" s="43">
        <f>E12</f>
        <v>79220.13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-566671.15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4" sqref="C14:D14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21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128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27</v>
      </c>
      <c r="B10" s="42"/>
      <c r="C10" s="43">
        <v>84425.56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152884.08</v>
      </c>
      <c r="D11" s="44"/>
      <c r="E11" s="43">
        <f>388736.14-C11</f>
        <v>235852.06000000003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364904.77-E12</f>
        <v>129052.70999999999</v>
      </c>
      <c r="D12" s="44"/>
      <c r="E12" s="43">
        <f>E11</f>
        <v>235852.06000000003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92509.29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122279</v>
      </c>
      <c r="D14" s="44"/>
      <c r="E14" s="43">
        <f>E11</f>
        <v>235852.06000000003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115030.63999999998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5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22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129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" customHeight="1">
      <c r="A10" s="41" t="s">
        <v>27</v>
      </c>
      <c r="B10" s="42"/>
      <c r="C10" s="43">
        <v>-152677.99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277344.1</v>
      </c>
      <c r="D11" s="44"/>
      <c r="E11" s="43">
        <f>771767.1-C11</f>
        <v>494423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738867.69-E12</f>
        <v>244444.68999999994</v>
      </c>
      <c r="D12" s="44"/>
      <c r="E12" s="43">
        <f>E11</f>
        <v>494423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134397.31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185056</v>
      </c>
      <c r="D14" s="44"/>
      <c r="E14" s="43">
        <f>E11</f>
        <v>494423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-60389.890000000014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1" sqref="C11:F11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23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130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.75" customHeight="1">
      <c r="A10" s="41" t="s">
        <v>27</v>
      </c>
      <c r="B10" s="42"/>
      <c r="C10" s="43">
        <v>238792.25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209875.72</v>
      </c>
      <c r="D11" s="44"/>
      <c r="E11" s="43">
        <f>36374.99+13204.92+280013.59+11098.9+15384.24+15127.92</f>
        <v>371204.56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561883.75-E12</f>
        <v>190679.19</v>
      </c>
      <c r="D12" s="44"/>
      <c r="E12" s="43">
        <f>E11</f>
        <v>371204.56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98963.94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265842.4</v>
      </c>
      <c r="D14" s="44"/>
      <c r="E14" s="43">
        <f>E11</f>
        <v>371204.56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182825.56999999995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24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131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35" t="s">
        <v>37</v>
      </c>
      <c r="D3" s="35"/>
      <c r="E3" s="35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8.5" customHeight="1">
      <c r="A10" s="41" t="s">
        <v>27</v>
      </c>
      <c r="B10" s="42"/>
      <c r="C10" s="43">
        <v>27790.99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85408.88</v>
      </c>
      <c r="D11" s="44"/>
      <c r="E11" s="43">
        <f>247120.9-C11</f>
        <v>161712.02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236849.21-E12</f>
        <v>75137.19</v>
      </c>
      <c r="D12" s="44"/>
      <c r="E12" s="43">
        <f>E11</f>
        <v>161712.02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42370.32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110169</v>
      </c>
      <c r="D14" s="44"/>
      <c r="E14" s="43">
        <f>E11</f>
        <v>161712.02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3030.87000000001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  <row r="28" spans="2:8" ht="12.75">
      <c r="B28" s="33" t="s">
        <v>132</v>
      </c>
      <c r="C28" s="33"/>
      <c r="D28" s="33"/>
      <c r="E28" s="33"/>
      <c r="F28" s="33"/>
      <c r="G28" s="70" t="s">
        <v>133</v>
      </c>
      <c r="H28" s="70"/>
    </row>
    <row r="31" spans="2:5" ht="12.75">
      <c r="B31" t="s">
        <v>134</v>
      </c>
      <c r="C31" s="70" t="s">
        <v>135</v>
      </c>
      <c r="D31" s="70"/>
      <c r="E31" s="70"/>
    </row>
  </sheetData>
  <sheetProtection/>
  <mergeCells count="42">
    <mergeCell ref="B28:F28"/>
    <mergeCell ref="G28:H28"/>
    <mergeCell ref="C31:E31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C3:E3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136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137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" customHeight="1">
      <c r="A10" s="41" t="s">
        <v>27</v>
      </c>
      <c r="B10" s="42"/>
      <c r="C10" s="43">
        <v>37887.08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f>92584.16+85909.48</f>
        <v>178493.64</v>
      </c>
      <c r="D11" s="44"/>
      <c r="E11" s="43">
        <f>578005.66-C11</f>
        <v>399512.02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511634.15-E12</f>
        <v>112122.13</v>
      </c>
      <c r="D12" s="44"/>
      <c r="E12" s="43">
        <f>E11</f>
        <v>399512.02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162956.47</v>
      </c>
      <c r="D13" s="44"/>
      <c r="E13" s="43" t="s">
        <v>78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222450</v>
      </c>
      <c r="D14" s="44"/>
      <c r="E14" s="43">
        <f>E11</f>
        <v>399512.02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-6069.27999999997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138</v>
      </c>
      <c r="B25" s="48"/>
    </row>
    <row r="32" spans="1:3" ht="12.75">
      <c r="A32" s="70" t="s">
        <v>139</v>
      </c>
      <c r="B32" s="70"/>
      <c r="C32" s="70"/>
    </row>
  </sheetData>
  <sheetProtection/>
  <mergeCells count="39">
    <mergeCell ref="A32:C32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11" sqref="C11:F11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140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141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" customHeight="1">
      <c r="A10" s="41" t="s">
        <v>27</v>
      </c>
      <c r="B10" s="42"/>
      <c r="C10" s="43">
        <v>23106.28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-9137.98</v>
      </c>
      <c r="D11" s="44"/>
      <c r="E11" s="43">
        <f>32363.06+23126.61+405131.73+221342.89+370254.29+17056.44+85011.91+27554.75+27023.52</f>
        <v>1208865.2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v>0</v>
      </c>
      <c r="D12" s="44"/>
      <c r="E12" s="43">
        <v>1080242.75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 t="s">
        <v>78</v>
      </c>
      <c r="D13" s="44"/>
      <c r="E13" s="43">
        <v>308776.41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102037</v>
      </c>
      <c r="D14" s="44"/>
      <c r="E14" s="43">
        <v>1208865.2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-88068.7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138</v>
      </c>
      <c r="B25" s="48"/>
    </row>
    <row r="32" spans="1:3" ht="12.75">
      <c r="A32" s="70" t="s">
        <v>139</v>
      </c>
      <c r="B32" s="70"/>
      <c r="C32" s="70"/>
    </row>
  </sheetData>
  <sheetProtection/>
  <mergeCells count="39">
    <mergeCell ref="A32:C32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85" zoomScaleSheetLayoutView="85" zoomScalePageLayoutView="0" workbookViewId="0" topLeftCell="A1">
      <selection activeCell="K26" sqref="K26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142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143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30" customHeight="1">
      <c r="A10" s="41" t="s">
        <v>27</v>
      </c>
      <c r="B10" s="42"/>
      <c r="C10" s="43">
        <v>24055.16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-3041.99</v>
      </c>
      <c r="D11" s="44"/>
      <c r="E11" s="43">
        <f>20636+17543.27+246903.71+146450.47+242409.69+10686.6+53311.54+20438.73+20098.27</f>
        <v>778478.2799999999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v>0</v>
      </c>
      <c r="D12" s="44"/>
      <c r="E12" s="43">
        <v>649082.96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0</v>
      </c>
      <c r="D13" s="44"/>
      <c r="E13" s="43">
        <v>216554.82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/>
      <c r="D14" s="44"/>
      <c r="E14" s="43">
        <v>778478.28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21013.17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138</v>
      </c>
      <c r="B25" s="48"/>
    </row>
    <row r="32" spans="1:3" ht="12.75">
      <c r="A32" s="70"/>
      <c r="B32" s="70"/>
      <c r="C32" s="70"/>
    </row>
  </sheetData>
  <sheetProtection/>
  <mergeCells count="39">
    <mergeCell ref="A32:C32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85" zoomScaleNormal="85" zoomScaleSheetLayoutView="85" zoomScalePageLayoutView="0" workbookViewId="0" topLeftCell="A1">
      <selection activeCell="C12" sqref="C12:F12"/>
    </sheetView>
  </sheetViews>
  <sheetFormatPr defaultColWidth="9.140625" defaultRowHeight="12.75"/>
  <cols>
    <col min="2" max="2" width="16.140625" style="0" customWidth="1"/>
  </cols>
  <sheetData>
    <row r="1" spans="1:8" ht="15">
      <c r="A1" s="35" t="s">
        <v>32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45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15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15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27</v>
      </c>
      <c r="B10" s="42"/>
      <c r="C10" s="43">
        <v>59939.44</v>
      </c>
      <c r="D10" s="44"/>
      <c r="E10" s="45"/>
      <c r="F10" s="46"/>
      <c r="G10" s="45">
        <v>0</v>
      </c>
      <c r="H10" s="46"/>
    </row>
    <row r="11" spans="1:8" ht="15">
      <c r="A11" s="47" t="s">
        <v>3</v>
      </c>
      <c r="B11" s="47"/>
      <c r="C11" s="43">
        <v>81748</v>
      </c>
      <c r="D11" s="44"/>
      <c r="E11" s="43">
        <f>5873.45+5138.99+109134.97+1174.69+11697.2+5987.16+5887.43</f>
        <v>144893.89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244653.83-E12</f>
        <v>99759.93999999997</v>
      </c>
      <c r="D12" s="44"/>
      <c r="E12" s="43">
        <f>E11</f>
        <v>144893.89</v>
      </c>
      <c r="F12" s="44"/>
      <c r="G12" s="44">
        <v>0</v>
      </c>
      <c r="H12" s="44"/>
    </row>
    <row r="13" spans="1:8" ht="48" customHeight="1">
      <c r="A13" s="47" t="s">
        <v>5</v>
      </c>
      <c r="B13" s="47"/>
      <c r="C13" s="43">
        <v>49291.25</v>
      </c>
      <c r="D13" s="44"/>
      <c r="E13" s="44">
        <v>0</v>
      </c>
      <c r="F13" s="44"/>
      <c r="G13" s="44">
        <v>0</v>
      </c>
      <c r="H13" s="44"/>
    </row>
    <row r="14" spans="1:8" ht="33.75" customHeight="1">
      <c r="A14" s="47" t="s">
        <v>6</v>
      </c>
      <c r="B14" s="47"/>
      <c r="C14" s="43">
        <v>33433</v>
      </c>
      <c r="D14" s="44"/>
      <c r="E14" s="43">
        <f>E12</f>
        <v>144893.89</v>
      </c>
      <c r="F14" s="44"/>
      <c r="G14" s="44">
        <v>0</v>
      </c>
      <c r="H14" s="44"/>
    </row>
    <row r="15" spans="1:8" ht="93" customHeight="1">
      <c r="A15" s="47" t="s">
        <v>12</v>
      </c>
      <c r="B15" s="47"/>
      <c r="C15" s="43">
        <f>C10+C11-C14</f>
        <v>108254.44</v>
      </c>
      <c r="D15" s="44"/>
      <c r="E15" s="44">
        <v>0</v>
      </c>
      <c r="F15" s="44"/>
      <c r="G15" s="44">
        <v>0</v>
      </c>
      <c r="H15" s="44"/>
    </row>
    <row r="16" spans="1:2" ht="15.75">
      <c r="A16" s="32"/>
      <c r="B16" s="32"/>
    </row>
    <row r="17" spans="1:2" ht="15.75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85" zoomScaleNormal="85" zoomScaleSheetLayoutView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13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46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27</v>
      </c>
      <c r="B10" s="42"/>
      <c r="C10" s="43">
        <v>-8340.88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36710.17</v>
      </c>
      <c r="D11" s="44"/>
      <c r="E11" s="43">
        <f>2305.59+48998.99+2686.11+2641.38</f>
        <v>56632.07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87347.02-E12</f>
        <v>30714.950000000004</v>
      </c>
      <c r="D12" s="44"/>
      <c r="E12" s="43">
        <f>E11</f>
        <v>56632.07</v>
      </c>
      <c r="F12" s="44"/>
      <c r="G12" s="44">
        <v>0</v>
      </c>
      <c r="H12" s="44"/>
    </row>
    <row r="13" spans="1:8" ht="31.5" customHeight="1">
      <c r="A13" s="49" t="s">
        <v>5</v>
      </c>
      <c r="B13" s="50"/>
      <c r="C13" s="43">
        <v>16853.8</v>
      </c>
      <c r="D13" s="44"/>
      <c r="E13" s="44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22299</v>
      </c>
      <c r="D14" s="44"/>
      <c r="E14" s="43">
        <f>E12</f>
        <v>56632.07</v>
      </c>
      <c r="F14" s="44"/>
      <c r="G14" s="44">
        <v>0</v>
      </c>
      <c r="H14" s="44"/>
    </row>
    <row r="15" spans="1:8" ht="92.25" customHeight="1">
      <c r="A15" s="51" t="s">
        <v>144</v>
      </c>
      <c r="B15" s="50"/>
      <c r="C15" s="43">
        <f>C10+C11-C14</f>
        <v>6070.290000000001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34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85" zoomScaleSheetLayoutView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14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47</v>
      </c>
      <c r="B2" s="36"/>
      <c r="C2" s="36"/>
      <c r="D2" s="36"/>
      <c r="E2" s="36"/>
      <c r="F2" s="36"/>
      <c r="G2" s="36"/>
      <c r="H2" s="36"/>
    </row>
    <row r="3" spans="1:8" ht="15">
      <c r="A3" s="35" t="s">
        <v>48</v>
      </c>
      <c r="B3" s="35"/>
      <c r="C3" s="35"/>
      <c r="D3" s="35"/>
      <c r="E3" s="35"/>
      <c r="F3" s="35"/>
      <c r="G3" s="35"/>
      <c r="H3" s="35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49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/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50</v>
      </c>
      <c r="B10" s="42"/>
      <c r="C10" s="52">
        <v>124683.32</v>
      </c>
      <c r="D10" s="53"/>
      <c r="E10" s="54">
        <v>0</v>
      </c>
      <c r="F10" s="55"/>
      <c r="G10" s="54">
        <v>0</v>
      </c>
      <c r="H10" s="55"/>
    </row>
    <row r="11" spans="1:8" ht="15">
      <c r="A11" s="47" t="s">
        <v>51</v>
      </c>
      <c r="B11" s="47"/>
      <c r="C11" s="56">
        <v>177417.48</v>
      </c>
      <c r="D11" s="57"/>
      <c r="E11" s="56">
        <f>6300+500.04+1300.26+11142.7+236809.06+30600+600+1200.24+12981.75+12765.5</f>
        <v>314199.55</v>
      </c>
      <c r="F11" s="57"/>
      <c r="G11" s="53">
        <v>0</v>
      </c>
      <c r="H11" s="53"/>
    </row>
    <row r="12" spans="1:8" ht="15">
      <c r="A12" s="47" t="s">
        <v>4</v>
      </c>
      <c r="B12" s="47"/>
      <c r="C12" s="52">
        <f>492668.84-E12</f>
        <v>178469.29000000004</v>
      </c>
      <c r="D12" s="53"/>
      <c r="E12" s="52">
        <f>E11</f>
        <v>314199.55</v>
      </c>
      <c r="F12" s="53"/>
      <c r="G12" s="53">
        <v>0</v>
      </c>
      <c r="H12" s="53"/>
    </row>
    <row r="13" spans="1:8" ht="47.25" customHeight="1">
      <c r="A13" s="47" t="s">
        <v>52</v>
      </c>
      <c r="B13" s="47"/>
      <c r="C13" s="58">
        <v>43527.84</v>
      </c>
      <c r="D13" s="55"/>
      <c r="E13" s="53">
        <v>0</v>
      </c>
      <c r="F13" s="53"/>
      <c r="G13" s="53">
        <v>0</v>
      </c>
      <c r="H13" s="53"/>
    </row>
    <row r="14" spans="1:8" ht="33" customHeight="1">
      <c r="A14" s="47" t="s">
        <v>53</v>
      </c>
      <c r="B14" s="47"/>
      <c r="C14" s="52">
        <v>213782</v>
      </c>
      <c r="D14" s="53"/>
      <c r="E14" s="52">
        <f>E12</f>
        <v>314199.55</v>
      </c>
      <c r="F14" s="53"/>
      <c r="G14" s="53">
        <v>0</v>
      </c>
      <c r="H14" s="53"/>
    </row>
    <row r="15" spans="1:8" ht="92.25" customHeight="1">
      <c r="A15" s="47" t="s">
        <v>12</v>
      </c>
      <c r="B15" s="47"/>
      <c r="C15" s="52">
        <f>C10+C11-C14</f>
        <v>88318.80000000005</v>
      </c>
      <c r="D15" s="53"/>
      <c r="E15" s="53">
        <v>0</v>
      </c>
      <c r="F15" s="53"/>
      <c r="G15" s="53">
        <v>0</v>
      </c>
      <c r="H15" s="53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9"/>
      <c r="B21" s="9"/>
    </row>
    <row r="22" spans="1:4" ht="14.25">
      <c r="A22" s="48" t="s">
        <v>11</v>
      </c>
      <c r="B22" s="48"/>
      <c r="C22" s="48"/>
      <c r="D22" s="48"/>
    </row>
    <row r="23" spans="1:2" ht="14.25">
      <c r="A23" s="9"/>
      <c r="B23" s="9"/>
    </row>
    <row r="24" spans="1:2" ht="14.25">
      <c r="A24" s="48" t="s">
        <v>33</v>
      </c>
      <c r="B24" s="48"/>
    </row>
  </sheetData>
  <sheetProtection/>
  <mergeCells count="38">
    <mergeCell ref="A16:B16"/>
    <mergeCell ref="A17:B17"/>
    <mergeCell ref="A18:B18"/>
    <mergeCell ref="A22:D22"/>
    <mergeCell ref="A24:B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3:H3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2" max="2" width="16.57421875" style="0" customWidth="1"/>
  </cols>
  <sheetData>
    <row r="1" spans="1:8" ht="15">
      <c r="A1" s="35" t="s">
        <v>15</v>
      </c>
      <c r="B1" s="35"/>
      <c r="C1" s="35"/>
      <c r="D1" s="35"/>
      <c r="E1" s="35"/>
      <c r="F1" s="35"/>
      <c r="G1" s="35"/>
      <c r="H1" s="35"/>
    </row>
    <row r="2" spans="1:8" ht="14.25">
      <c r="A2" s="36" t="s">
        <v>54</v>
      </c>
      <c r="B2" s="36"/>
      <c r="C2" s="36"/>
      <c r="D2" s="36"/>
      <c r="E2" s="36"/>
      <c r="F2" s="36"/>
      <c r="G2" s="36"/>
      <c r="H2" s="36"/>
    </row>
    <row r="3" spans="1:8" ht="15">
      <c r="A3" s="7"/>
      <c r="B3" s="7"/>
      <c r="C3" s="8"/>
      <c r="D3" s="3" t="s">
        <v>37</v>
      </c>
      <c r="E3" s="7"/>
      <c r="F3" s="7"/>
      <c r="G3" s="7"/>
      <c r="H3" s="7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33.75" customHeight="1">
      <c r="A5" s="37" t="s">
        <v>8</v>
      </c>
      <c r="B5" s="37"/>
      <c r="C5" s="37"/>
      <c r="D5" s="37"/>
      <c r="E5" s="37"/>
      <c r="F5" s="37"/>
      <c r="G5" s="37"/>
      <c r="H5" s="37"/>
    </row>
    <row r="6" spans="1:8" ht="14.25">
      <c r="A6" s="7"/>
      <c r="B6" s="7"/>
      <c r="C6" s="7"/>
      <c r="D6" s="7"/>
      <c r="E6" s="7"/>
      <c r="F6" s="7"/>
      <c r="G6" s="7"/>
      <c r="H6" s="7"/>
    </row>
    <row r="7" spans="1:8" ht="14.25">
      <c r="A7" s="38" t="s">
        <v>9</v>
      </c>
      <c r="B7" s="38"/>
      <c r="C7" s="38"/>
      <c r="D7" s="38"/>
      <c r="E7" s="38"/>
      <c r="F7" s="38"/>
      <c r="G7" s="38"/>
      <c r="H7" s="38"/>
    </row>
    <row r="9" spans="1:8" ht="54" customHeight="1">
      <c r="A9" s="39"/>
      <c r="B9" s="39"/>
      <c r="C9" s="40" t="s">
        <v>0</v>
      </c>
      <c r="D9" s="40"/>
      <c r="E9" s="40" t="s">
        <v>1</v>
      </c>
      <c r="F9" s="40"/>
      <c r="G9" s="40" t="s">
        <v>2</v>
      </c>
      <c r="H9" s="40"/>
    </row>
    <row r="10" spans="1:8" ht="29.25" customHeight="1">
      <c r="A10" s="41" t="s">
        <v>27</v>
      </c>
      <c r="B10" s="42"/>
      <c r="C10" s="43">
        <v>3220.17</v>
      </c>
      <c r="D10" s="44"/>
      <c r="E10" s="45">
        <v>0</v>
      </c>
      <c r="F10" s="46"/>
      <c r="G10" s="45">
        <v>0</v>
      </c>
      <c r="H10" s="46"/>
    </row>
    <row r="11" spans="1:8" ht="15">
      <c r="A11" s="47" t="s">
        <v>3</v>
      </c>
      <c r="B11" s="47"/>
      <c r="C11" s="43">
        <v>37603.57</v>
      </c>
      <c r="D11" s="44"/>
      <c r="E11" s="43">
        <f>2361.76+50191.59+2751.48+2705.59</f>
        <v>58010.42</v>
      </c>
      <c r="F11" s="44"/>
      <c r="G11" s="44">
        <v>0</v>
      </c>
      <c r="H11" s="44"/>
    </row>
    <row r="12" spans="1:8" ht="15">
      <c r="A12" s="47" t="s">
        <v>4</v>
      </c>
      <c r="B12" s="47"/>
      <c r="C12" s="43">
        <f>94800.01-E12</f>
        <v>36789.59</v>
      </c>
      <c r="D12" s="44"/>
      <c r="E12" s="43">
        <f>E11</f>
        <v>58010.42</v>
      </c>
      <c r="F12" s="44"/>
      <c r="G12" s="44">
        <v>0</v>
      </c>
      <c r="H12" s="44"/>
    </row>
    <row r="13" spans="1:8" ht="47.25" customHeight="1">
      <c r="A13" s="47" t="s">
        <v>5</v>
      </c>
      <c r="B13" s="47"/>
      <c r="C13" s="43">
        <v>17313.84</v>
      </c>
      <c r="D13" s="44"/>
      <c r="E13" s="43">
        <v>0</v>
      </c>
      <c r="F13" s="44"/>
      <c r="G13" s="44">
        <v>0</v>
      </c>
      <c r="H13" s="44"/>
    </row>
    <row r="14" spans="1:8" ht="33" customHeight="1">
      <c r="A14" s="47" t="s">
        <v>6</v>
      </c>
      <c r="B14" s="47"/>
      <c r="C14" s="43">
        <v>12475</v>
      </c>
      <c r="D14" s="44"/>
      <c r="E14" s="43">
        <f>E12</f>
        <v>58010.42</v>
      </c>
      <c r="F14" s="44"/>
      <c r="G14" s="44">
        <v>0</v>
      </c>
      <c r="H14" s="44"/>
    </row>
    <row r="15" spans="1:8" ht="92.25" customHeight="1">
      <c r="A15" s="47" t="s">
        <v>12</v>
      </c>
      <c r="B15" s="47"/>
      <c r="C15" s="43">
        <f>C10+C11-C14</f>
        <v>28348.739999999998</v>
      </c>
      <c r="D15" s="44"/>
      <c r="E15" s="44">
        <v>0</v>
      </c>
      <c r="F15" s="44"/>
      <c r="G15" s="44">
        <v>0</v>
      </c>
      <c r="H15" s="44"/>
    </row>
    <row r="16" spans="1:2" ht="13.5" customHeight="1">
      <c r="A16" s="32"/>
      <c r="B16" s="32"/>
    </row>
    <row r="17" spans="1:2" ht="12.75" customHeight="1">
      <c r="A17" s="32"/>
      <c r="B17" s="32"/>
    </row>
    <row r="18" spans="1:2" ht="14.25">
      <c r="A18" s="48" t="s">
        <v>10</v>
      </c>
      <c r="B18" s="48"/>
    </row>
    <row r="19" spans="1:2" ht="14.25">
      <c r="A19" s="9"/>
      <c r="B19" s="9"/>
    </row>
    <row r="20" spans="1:2" ht="14.25">
      <c r="A20" s="9"/>
      <c r="B20" s="9"/>
    </row>
    <row r="21" spans="1:2" ht="14.25">
      <c r="A21" s="48"/>
      <c r="B21" s="48"/>
    </row>
    <row r="22" spans="1:2" ht="14.25">
      <c r="A22" s="9"/>
      <c r="B22" s="9"/>
    </row>
    <row r="23" spans="1:4" ht="14.25">
      <c r="A23" s="48" t="s">
        <v>11</v>
      </c>
      <c r="B23" s="48"/>
      <c r="C23" s="48"/>
      <c r="D23" s="48"/>
    </row>
    <row r="24" spans="1:2" ht="14.25">
      <c r="A24" s="9"/>
      <c r="B24" s="9"/>
    </row>
    <row r="25" spans="1:2" ht="14.25">
      <c r="A25" s="48" t="s">
        <v>33</v>
      </c>
      <c r="B25" s="48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09</cp:lastModifiedBy>
  <cp:lastPrinted>2016-06-16T09:50:47Z</cp:lastPrinted>
  <dcterms:created xsi:type="dcterms:W3CDTF">1996-10-08T23:32:33Z</dcterms:created>
  <dcterms:modified xsi:type="dcterms:W3CDTF">2016-06-20T10:52:03Z</dcterms:modified>
  <cp:category/>
  <cp:version/>
  <cp:contentType/>
  <cp:contentStatus/>
</cp:coreProperties>
</file>